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cellusindia-my.sharepoint.com/personal/pooja_marcellus_in/Documents/Desktop/"/>
    </mc:Choice>
  </mc:AlternateContent>
  <xr:revisionPtr revIDLastSave="0" documentId="8_{140401D0-9141-4951-854A-DEF795B1FD9E}" xr6:coauthVersionLast="47" xr6:coauthVersionMax="47" xr10:uidLastSave="{00000000-0000-0000-0000-000000000000}"/>
  <bookViews>
    <workbookView xWindow="-110" yWindow="-110" windowWidth="19420" windowHeight="10420" xr2:uid="{71BB3E6B-D876-482B-BE5A-4E465461DBF7}"/>
  </bookViews>
  <sheets>
    <sheet name="Hybrid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3" i="1"/>
  <c r="D23" i="1" s="1"/>
  <c r="E23" i="1" s="1"/>
  <c r="C27" i="1"/>
  <c r="C32" i="1" s="1"/>
  <c r="D24" i="1" l="1"/>
  <c r="E24" i="1" l="1"/>
  <c r="L16" i="1"/>
  <c r="K16" i="1"/>
  <c r="J16" i="1"/>
  <c r="I16" i="1"/>
  <c r="H16" i="1"/>
  <c r="G16" i="1"/>
  <c r="F16" i="1"/>
  <c r="E16" i="1"/>
  <c r="D16" i="1"/>
  <c r="C16" i="1"/>
  <c r="C15" i="1"/>
  <c r="C14" i="1"/>
  <c r="D14" i="1" s="1"/>
  <c r="E14" i="1" s="1"/>
  <c r="F14" i="1" s="1"/>
  <c r="G14" i="1" s="1"/>
  <c r="H14" i="1" s="1"/>
  <c r="I14" i="1" s="1"/>
  <c r="J14" i="1" s="1"/>
  <c r="K14" i="1" s="1"/>
  <c r="L14" i="1" s="1"/>
  <c r="D10" i="1" l="1"/>
  <c r="C12" i="1"/>
  <c r="C17" i="1" s="1"/>
  <c r="C25" i="1"/>
  <c r="D25" i="1" l="1"/>
  <c r="E10" i="1"/>
  <c r="F10" i="1" s="1"/>
  <c r="C18" i="1"/>
  <c r="C19" i="1" l="1"/>
  <c r="C29" i="1" s="1"/>
  <c r="C30" i="1" s="1"/>
  <c r="E25" i="1"/>
  <c r="G10" i="1"/>
  <c r="C31" i="1" l="1"/>
  <c r="D11" i="1" s="1"/>
  <c r="H10" i="1"/>
  <c r="D12" i="1" l="1"/>
  <c r="D15" i="1"/>
  <c r="I10" i="1"/>
  <c r="D17" i="1" l="1"/>
  <c r="D18" i="1" s="1"/>
  <c r="D19" i="1" s="1"/>
  <c r="J10" i="1"/>
  <c r="D27" i="1" l="1"/>
  <c r="D32" i="1" s="1"/>
  <c r="K10" i="1"/>
  <c r="D29" i="1" l="1"/>
  <c r="D30" i="1" s="1"/>
  <c r="D31" i="1" s="1"/>
  <c r="E11" i="1" s="1"/>
  <c r="L10" i="1"/>
  <c r="E15" i="1" l="1"/>
  <c r="E12" i="1"/>
  <c r="E17" i="1" l="1"/>
  <c r="E18" i="1" s="1"/>
  <c r="E19" i="1" l="1"/>
  <c r="F21" i="1" s="1"/>
  <c r="E27" i="1"/>
  <c r="E32" i="1" s="1"/>
  <c r="E29" i="1" l="1"/>
  <c r="F22" i="1" s="1"/>
  <c r="E30" i="1" l="1"/>
  <c r="E31" i="1" s="1"/>
  <c r="F11" i="1" s="1"/>
  <c r="F23" i="1" l="1"/>
  <c r="F24" i="1" s="1"/>
  <c r="F25" i="1" s="1"/>
  <c r="F15" i="1"/>
  <c r="F12" i="1"/>
  <c r="F17" i="1" l="1"/>
  <c r="F18" i="1" s="1"/>
  <c r="F19" i="1" s="1"/>
  <c r="G21" i="1" l="1"/>
  <c r="F27" i="1"/>
  <c r="F32" i="1" s="1"/>
  <c r="F29" i="1" l="1"/>
  <c r="G22" i="1" s="1"/>
  <c r="F30" i="1"/>
  <c r="F31" i="1" l="1"/>
  <c r="G11" i="1" s="1"/>
  <c r="G15" i="1" l="1"/>
  <c r="G12" i="1"/>
  <c r="G23" i="1"/>
  <c r="G24" i="1" s="1"/>
  <c r="G25" i="1" s="1"/>
  <c r="G17" i="1" l="1"/>
  <c r="G18" i="1" s="1"/>
  <c r="G30" i="1"/>
  <c r="G19" i="1" l="1"/>
  <c r="G27" i="1" l="1"/>
  <c r="G29" i="1" s="1"/>
  <c r="G31" i="1" s="1"/>
  <c r="H11" i="1" s="1"/>
  <c r="H21" i="1"/>
  <c r="H15" i="1" l="1"/>
  <c r="H12" i="1"/>
  <c r="H23" i="1"/>
  <c r="H22" i="1"/>
  <c r="G32" i="1"/>
  <c r="H30" i="1"/>
  <c r="H17" i="1" l="1"/>
  <c r="H18" i="1" s="1"/>
  <c r="H19" i="1" s="1"/>
  <c r="H24" i="1"/>
  <c r="H25" i="1" s="1"/>
  <c r="H27" i="1" l="1"/>
  <c r="I21" i="1"/>
  <c r="H29" i="1" l="1"/>
  <c r="H31" i="1" s="1"/>
  <c r="I11" i="1" s="1"/>
  <c r="I15" i="1" s="1"/>
  <c r="H32" i="1"/>
  <c r="I22" i="1"/>
  <c r="I12" i="1" l="1"/>
  <c r="I17" i="1" s="1"/>
  <c r="I18" i="1" s="1"/>
  <c r="I23" i="1"/>
  <c r="I24" i="1" s="1"/>
  <c r="I25" i="1" s="1"/>
  <c r="I30" i="1"/>
  <c r="I19" i="1" l="1"/>
  <c r="J21" i="1" s="1"/>
  <c r="I27" i="1" l="1"/>
  <c r="I32" i="1" s="1"/>
  <c r="I29" i="1" l="1"/>
  <c r="I31" i="1" s="1"/>
  <c r="J11" i="1" s="1"/>
  <c r="J22" i="1" l="1"/>
  <c r="J23" i="1"/>
  <c r="J12" i="1"/>
  <c r="J15" i="1"/>
  <c r="J24" i="1" l="1"/>
  <c r="J25" i="1" s="1"/>
  <c r="J17" i="1"/>
  <c r="J18" i="1" s="1"/>
  <c r="J30" i="1"/>
  <c r="J19" i="1" l="1"/>
  <c r="K21" i="1" l="1"/>
  <c r="J27" i="1"/>
  <c r="J32" i="1" s="1"/>
  <c r="J29" i="1" l="1"/>
  <c r="K22" i="1" l="1"/>
  <c r="J31" i="1"/>
  <c r="K11" i="1" s="1"/>
  <c r="K15" i="1" l="1"/>
  <c r="K23" i="1"/>
  <c r="K24" i="1" s="1"/>
  <c r="K25" i="1" s="1"/>
  <c r="K12" i="1"/>
  <c r="K30" i="1"/>
  <c r="K17" i="1" l="1"/>
  <c r="K18" i="1" s="1"/>
  <c r="K19" i="1" l="1"/>
  <c r="L21" i="1" s="1"/>
  <c r="K27" i="1" l="1"/>
  <c r="K29" i="1" s="1"/>
  <c r="K31" i="1" s="1"/>
  <c r="L11" i="1" s="1"/>
  <c r="L12" i="1" s="1"/>
  <c r="K32" i="1"/>
  <c r="L30" i="1"/>
  <c r="L22" i="1" l="1"/>
  <c r="L15" i="1"/>
  <c r="L23" i="1"/>
  <c r="L24" i="1"/>
  <c r="L25" i="1" s="1"/>
  <c r="L17" i="1"/>
  <c r="L18" i="1" s="1"/>
  <c r="L19" i="1" l="1"/>
  <c r="L27" i="1" s="1"/>
  <c r="L29" i="1" s="1"/>
  <c r="L31" i="1" s="1"/>
  <c r="L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tc={D0376F0E-75C6-4D1B-8440-C78187D0EA29}</author>
  </authors>
  <commentList>
    <comment ref="D14" authorId="0" shapeId="0" xr:uid="{D0376F0E-75C6-4D1B-8440-C78187D0EA29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</t>
      </text>
    </comment>
  </commentList>
</comments>
</file>

<file path=xl/sharedStrings.xml><?xml version="1.0" encoding="utf-8"?>
<sst xmlns="http://schemas.openxmlformats.org/spreadsheetml/2006/main" count="43" uniqueCount="32">
  <si>
    <t>Input Cell</t>
  </si>
  <si>
    <t>N</t>
  </si>
  <si>
    <t>Y</t>
  </si>
  <si>
    <t>Investor Staying</t>
  </si>
  <si>
    <t>Fees a % of Avergae AUM</t>
  </si>
  <si>
    <t>Ending AUM</t>
  </si>
  <si>
    <t>Exit Load</t>
  </si>
  <si>
    <t>Post Management Fees AUM</t>
  </si>
  <si>
    <t>Performace Fees</t>
  </si>
  <si>
    <t>Hurdle AUM</t>
  </si>
  <si>
    <t>High Water Mark</t>
  </si>
  <si>
    <t>Pre- fees AUM</t>
  </si>
  <si>
    <t>Add profit</t>
  </si>
  <si>
    <t>Opening capital</t>
  </si>
  <si>
    <t>Year</t>
  </si>
  <si>
    <t>Return</t>
  </si>
  <si>
    <t>Variable</t>
  </si>
  <si>
    <t>Hurdle rate</t>
  </si>
  <si>
    <t>Profit share above hurdle</t>
  </si>
  <si>
    <t>Fixed fees</t>
  </si>
  <si>
    <t>Less: Accounting opening fees*</t>
  </si>
  <si>
    <t>Less: Brokerage &amp; STT &amp; GST</t>
  </si>
  <si>
    <t>Less: Custody &amp; Fund A/cing**</t>
  </si>
  <si>
    <t>Lee: Audit Fees</t>
  </si>
  <si>
    <t>Brokerage + STT (incl. GST) in bps</t>
  </si>
  <si>
    <t>Custody &amp; Fund Accounting in bps (GST not included)</t>
  </si>
  <si>
    <t>Audit Fees (GST not included)</t>
  </si>
  <si>
    <t>Management Fees / Fixed Fees</t>
  </si>
  <si>
    <t>AUM after fixed fees</t>
  </si>
  <si>
    <r>
      <t xml:space="preserve">High Watermark (Net of Fees) - </t>
    </r>
    <r>
      <rPr>
        <b/>
        <sz val="11"/>
        <color theme="1"/>
        <rFont val="Calibri"/>
        <family val="2"/>
        <scheme val="minor"/>
      </rPr>
      <t>A</t>
    </r>
  </si>
  <si>
    <r>
      <t xml:space="preserve">Opening AUM - </t>
    </r>
    <r>
      <rPr>
        <b/>
        <sz val="11"/>
        <color theme="1"/>
        <rFont val="Calibri"/>
        <family val="2"/>
        <scheme val="minor"/>
      </rPr>
      <t>B</t>
    </r>
  </si>
  <si>
    <t>Amount on which Hurdle to be calculated (Higher of A or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</si>
</sst>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6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10" fontId="2" fillId="2" borderId="1" xfId="0" applyNumberFormat="1" applyFont="1" applyFill="1" applyBorder="1"/>
    <xf numFmtId="9" fontId="2" fillId="2" borderId="0" xfId="0" applyNumberFormat="1" applyFont="1" applyFill="1"/>
    <xf numFmtId="166" fontId="2" fillId="2" borderId="0" xfId="0" applyNumberFormat="1" applyFont="1" applyFill="1"/>
    <xf numFmtId="165" fontId="0" fillId="0" borderId="2" xfId="1" applyNumberFormat="1" applyFont="1" applyFill="1" applyBorder="1"/>
    <xf numFmtId="43" fontId="0" fillId="0" borderId="0" xfId="0" applyNumberFormat="1"/>
    <xf numFmtId="167" fontId="2" fillId="2" borderId="0" xfId="1" applyNumberFormat="1" applyFont="1" applyFill="1"/>
    <xf numFmtId="167" fontId="0" fillId="0" borderId="1" xfId="1" applyNumberFormat="1" applyFont="1" applyBorder="1"/>
    <xf numFmtId="167" fontId="2" fillId="0" borderId="1" xfId="1" applyNumberFormat="1" applyFont="1" applyBorder="1"/>
    <xf numFmtId="165" fontId="0" fillId="0" borderId="0" xfId="1" applyNumberFormat="1" applyFont="1" applyFill="1" applyBorder="1"/>
    <xf numFmtId="167" fontId="1" fillId="0" borderId="1" xfId="1" applyNumberFormat="1" applyFont="1" applyBorder="1"/>
    <xf numFmtId="3" fontId="2" fillId="0" borderId="1" xfId="1" applyNumberFormat="1" applyFont="1" applyBorder="1"/>
    <xf numFmtId="0" fontId="0" fillId="3" borderId="1" xfId="0" applyFill="1" applyBorder="1"/>
    <xf numFmtId="0" fontId="2" fillId="3" borderId="1" xfId="0" applyFont="1" applyFill="1" applyBorder="1" applyAlignment="1">
      <alignment wrapText="1"/>
    </xf>
    <xf numFmtId="3" fontId="1" fillId="3" borderId="1" xfId="1" applyNumberFormat="1" applyFont="1" applyFill="1" applyBorder="1"/>
    <xf numFmtId="3" fontId="2" fillId="3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tesh Bhadani" id="{8F22DBE8-2DEC-47D6-9450-7AF60A6ED3DA}" userId="S::nitesh@marcellus.in::b969b95e-3978-48d0-bb2a-4f0b65060fe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1-06-07T08:18:07.24" personId="{8F22DBE8-2DEC-47D6-9450-7AF60A6ED3DA}" id="{D0376F0E-75C6-4D1B-8440-C78187D0EA29}">
    <text>Assumption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9835-C4A6-4D79-9A4C-7AED9BDC0EAD}">
  <dimension ref="B1:N37"/>
  <sheetViews>
    <sheetView showGridLines="0" tabSelected="1" topLeftCell="B1" workbookViewId="0">
      <selection activeCell="C34" sqref="C34"/>
    </sheetView>
  </sheetViews>
  <sheetFormatPr defaultRowHeight="14.5" x14ac:dyDescent="0.35"/>
  <cols>
    <col min="2" max="2" width="42.08984375" bestFit="1" customWidth="1"/>
    <col min="3" max="3" width="11.36328125" bestFit="1" customWidth="1"/>
    <col min="4" max="4" width="12.36328125" customWidth="1"/>
    <col min="5" max="5" width="15.6328125" customWidth="1"/>
    <col min="6" max="6" width="11.36328125" bestFit="1" customWidth="1"/>
    <col min="7" max="7" width="13.36328125" customWidth="1"/>
    <col min="8" max="8" width="15.90625" customWidth="1"/>
    <col min="9" max="9" width="14.6328125" customWidth="1"/>
    <col min="10" max="10" width="14.453125" customWidth="1"/>
    <col min="11" max="11" width="15.54296875" customWidth="1"/>
    <col min="12" max="12" width="14.36328125" customWidth="1"/>
    <col min="14" max="14" width="0" hidden="1" customWidth="1"/>
  </cols>
  <sheetData>
    <row r="1" spans="2:12" x14ac:dyDescent="0.35">
      <c r="B1" t="s">
        <v>19</v>
      </c>
      <c r="C1" s="10">
        <v>1.4999999999999999E-2</v>
      </c>
    </row>
    <row r="2" spans="2:12" x14ac:dyDescent="0.35">
      <c r="B2" t="s">
        <v>18</v>
      </c>
      <c r="C2" s="9">
        <v>0.2</v>
      </c>
    </row>
    <row r="3" spans="2:12" x14ac:dyDescent="0.35">
      <c r="B3" t="s">
        <v>17</v>
      </c>
      <c r="C3" s="9">
        <v>0.1</v>
      </c>
    </row>
    <row r="4" spans="2:12" x14ac:dyDescent="0.35">
      <c r="B4" t="s">
        <v>24</v>
      </c>
      <c r="C4" s="13">
        <v>16</v>
      </c>
    </row>
    <row r="5" spans="2:12" x14ac:dyDescent="0.35">
      <c r="B5" t="s">
        <v>25</v>
      </c>
      <c r="C5" s="13">
        <v>7</v>
      </c>
    </row>
    <row r="6" spans="2:12" x14ac:dyDescent="0.35">
      <c r="B6" t="s">
        <v>26</v>
      </c>
      <c r="C6" s="13">
        <v>1000</v>
      </c>
    </row>
    <row r="7" spans="2:12" x14ac:dyDescent="0.35">
      <c r="B7" t="s">
        <v>6</v>
      </c>
      <c r="C7" s="9">
        <v>0.03</v>
      </c>
      <c r="D7" s="9">
        <v>0.02</v>
      </c>
      <c r="E7" s="9">
        <v>0.01</v>
      </c>
    </row>
    <row r="8" spans="2:12" x14ac:dyDescent="0.35">
      <c r="B8" s="2" t="s">
        <v>16</v>
      </c>
    </row>
    <row r="9" spans="2:12" x14ac:dyDescent="0.35">
      <c r="B9" s="6" t="s">
        <v>15</v>
      </c>
      <c r="C9" s="8">
        <v>0.27</v>
      </c>
      <c r="D9" s="8">
        <v>0.33</v>
      </c>
      <c r="E9" s="8">
        <v>0.21</v>
      </c>
      <c r="F9" s="8">
        <v>-0.08</v>
      </c>
      <c r="G9" s="8">
        <v>0.18</v>
      </c>
      <c r="H9" s="8">
        <v>0.18</v>
      </c>
      <c r="I9" s="8">
        <v>0.18</v>
      </c>
      <c r="J9" s="8">
        <v>0.18</v>
      </c>
      <c r="K9" s="8">
        <v>0.18</v>
      </c>
      <c r="L9" s="8">
        <v>0.18</v>
      </c>
    </row>
    <row r="10" spans="2:12" x14ac:dyDescent="0.35">
      <c r="B10" s="6" t="s">
        <v>14</v>
      </c>
      <c r="C10" s="6">
        <v>1</v>
      </c>
      <c r="D10" s="6">
        <f t="shared" ref="D10:L10" si="0">+C10+1</f>
        <v>2</v>
      </c>
      <c r="E10" s="6">
        <f t="shared" si="0"/>
        <v>3</v>
      </c>
      <c r="F10" s="6">
        <f t="shared" si="0"/>
        <v>4</v>
      </c>
      <c r="G10" s="6">
        <f t="shared" si="0"/>
        <v>5</v>
      </c>
      <c r="H10" s="6">
        <f t="shared" si="0"/>
        <v>6</v>
      </c>
      <c r="I10" s="6">
        <f t="shared" si="0"/>
        <v>7</v>
      </c>
      <c r="J10" s="6">
        <f t="shared" si="0"/>
        <v>8</v>
      </c>
      <c r="K10" s="6">
        <f t="shared" si="0"/>
        <v>9</v>
      </c>
      <c r="L10" s="6">
        <f t="shared" si="0"/>
        <v>10</v>
      </c>
    </row>
    <row r="11" spans="2:12" x14ac:dyDescent="0.35">
      <c r="B11" s="7" t="s">
        <v>13</v>
      </c>
      <c r="C11" s="14">
        <v>5000000</v>
      </c>
      <c r="D11" s="14">
        <f t="shared" ref="D11:L11" si="1">IF(C34="Y",C31,0)</f>
        <v>6250831.125</v>
      </c>
      <c r="E11" s="14">
        <f t="shared" si="1"/>
        <v>8191096.857416532</v>
      </c>
      <c r="F11" s="14">
        <f t="shared" si="1"/>
        <v>9139669.2020165082</v>
      </c>
      <c r="G11" s="14">
        <f t="shared" si="1"/>
        <v>8261602.14416805</v>
      </c>
      <c r="H11" s="14">
        <f t="shared" si="1"/>
        <v>9598941.0869714916</v>
      </c>
      <c r="I11" s="14">
        <f t="shared" si="1"/>
        <v>11035132.184361091</v>
      </c>
      <c r="J11" s="14">
        <f t="shared" si="1"/>
        <v>12687275.007156799</v>
      </c>
      <c r="K11" s="14">
        <f t="shared" si="1"/>
        <v>14587840.963787926</v>
      </c>
      <c r="L11" s="14">
        <f t="shared" si="1"/>
        <v>16774184.000035126</v>
      </c>
    </row>
    <row r="12" spans="2:12" x14ac:dyDescent="0.35">
      <c r="B12" s="7" t="s">
        <v>12</v>
      </c>
      <c r="C12" s="14">
        <f t="shared" ref="C12:L12" si="2">+C11*C9</f>
        <v>1350000</v>
      </c>
      <c r="D12" s="14">
        <f t="shared" si="2"/>
        <v>2062774.27125</v>
      </c>
      <c r="E12" s="14">
        <f t="shared" si="2"/>
        <v>1720130.3400574718</v>
      </c>
      <c r="F12" s="14">
        <f t="shared" si="2"/>
        <v>-731173.53616132063</v>
      </c>
      <c r="G12" s="14">
        <f t="shared" si="2"/>
        <v>1487088.3859502489</v>
      </c>
      <c r="H12" s="14">
        <f t="shared" si="2"/>
        <v>1727809.3956548683</v>
      </c>
      <c r="I12" s="14">
        <f t="shared" si="2"/>
        <v>1986323.7931849963</v>
      </c>
      <c r="J12" s="14">
        <f t="shared" si="2"/>
        <v>2283709.5012882235</v>
      </c>
      <c r="K12" s="14">
        <f t="shared" si="2"/>
        <v>2625811.3734818269</v>
      </c>
      <c r="L12" s="14">
        <f t="shared" si="2"/>
        <v>3019353.1200063224</v>
      </c>
    </row>
    <row r="13" spans="2:12" x14ac:dyDescent="0.35">
      <c r="B13" s="7" t="s">
        <v>20</v>
      </c>
      <c r="C13" s="14">
        <v>1650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2:12" x14ac:dyDescent="0.35">
      <c r="B14" s="7" t="s">
        <v>21</v>
      </c>
      <c r="C14" s="14">
        <f>C11*C4/10000</f>
        <v>8000</v>
      </c>
      <c r="D14" s="14">
        <f>C14</f>
        <v>8000</v>
      </c>
      <c r="E14" s="14">
        <f t="shared" ref="E14:L14" si="3">D14</f>
        <v>8000</v>
      </c>
      <c r="F14" s="14">
        <f t="shared" si="3"/>
        <v>8000</v>
      </c>
      <c r="G14" s="14">
        <f t="shared" si="3"/>
        <v>8000</v>
      </c>
      <c r="H14" s="14">
        <f t="shared" si="3"/>
        <v>8000</v>
      </c>
      <c r="I14" s="14">
        <f t="shared" si="3"/>
        <v>8000</v>
      </c>
      <c r="J14" s="14">
        <f t="shared" si="3"/>
        <v>8000</v>
      </c>
      <c r="K14" s="14">
        <f t="shared" si="3"/>
        <v>8000</v>
      </c>
      <c r="L14" s="14">
        <f t="shared" si="3"/>
        <v>8000</v>
      </c>
    </row>
    <row r="15" spans="2:12" x14ac:dyDescent="0.35">
      <c r="B15" s="7" t="s">
        <v>22</v>
      </c>
      <c r="C15" s="14">
        <f>C11*$C$5/10000</f>
        <v>3500</v>
      </c>
      <c r="D15" s="14">
        <f>D11*$C$5/10000</f>
        <v>4375.5817875000002</v>
      </c>
      <c r="E15" s="14">
        <f t="shared" ref="E15:L15" si="4">E11*$C$5/10000</f>
        <v>5733.767800191572</v>
      </c>
      <c r="F15" s="14">
        <f t="shared" si="4"/>
        <v>6397.7684414115556</v>
      </c>
      <c r="G15" s="14">
        <f t="shared" si="4"/>
        <v>5783.1215009176349</v>
      </c>
      <c r="H15" s="14">
        <f t="shared" si="4"/>
        <v>6719.2587608800441</v>
      </c>
      <c r="I15" s="14">
        <f t="shared" si="4"/>
        <v>7724.5925290527639</v>
      </c>
      <c r="J15" s="14">
        <f t="shared" si="4"/>
        <v>8881.0925050097576</v>
      </c>
      <c r="K15" s="14">
        <f t="shared" si="4"/>
        <v>10211.488674651548</v>
      </c>
      <c r="L15" s="14">
        <f t="shared" si="4"/>
        <v>11741.928800024589</v>
      </c>
    </row>
    <row r="16" spans="2:12" x14ac:dyDescent="0.35">
      <c r="B16" s="7" t="s">
        <v>23</v>
      </c>
      <c r="C16" s="14">
        <f>$C$6</f>
        <v>1000</v>
      </c>
      <c r="D16" s="14">
        <f t="shared" ref="D16:L16" si="5">$C$6</f>
        <v>1000</v>
      </c>
      <c r="E16" s="14">
        <f t="shared" si="5"/>
        <v>1000</v>
      </c>
      <c r="F16" s="14">
        <f t="shared" si="5"/>
        <v>1000</v>
      </c>
      <c r="G16" s="14">
        <f t="shared" si="5"/>
        <v>1000</v>
      </c>
      <c r="H16" s="14">
        <f t="shared" si="5"/>
        <v>1000</v>
      </c>
      <c r="I16" s="14">
        <f t="shared" si="5"/>
        <v>1000</v>
      </c>
      <c r="J16" s="14">
        <f t="shared" si="5"/>
        <v>1000</v>
      </c>
      <c r="K16" s="14">
        <f t="shared" si="5"/>
        <v>1000</v>
      </c>
      <c r="L16" s="14">
        <f t="shared" si="5"/>
        <v>1000</v>
      </c>
    </row>
    <row r="17" spans="2:13" s="2" customFormat="1" x14ac:dyDescent="0.35">
      <c r="B17" s="6" t="s">
        <v>11</v>
      </c>
      <c r="C17" s="15">
        <f>MAX(0,SUM(C11:C12)-SUM(C13:C16))</f>
        <v>6335850</v>
      </c>
      <c r="D17" s="15">
        <f t="shared" ref="D17:L17" si="6">MAX(0,SUM(D11:D12)-SUM(D13:D16))</f>
        <v>8300229.8144625006</v>
      </c>
      <c r="E17" s="15">
        <f t="shared" si="6"/>
        <v>9896493.4296738114</v>
      </c>
      <c r="F17" s="15">
        <f t="shared" si="6"/>
        <v>8393097.8974137772</v>
      </c>
      <c r="G17" s="15">
        <f t="shared" si="6"/>
        <v>9733907.4086173829</v>
      </c>
      <c r="H17" s="15">
        <f t="shared" si="6"/>
        <v>11311031.223865479</v>
      </c>
      <c r="I17" s="15">
        <f t="shared" si="6"/>
        <v>13004731.385017034</v>
      </c>
      <c r="J17" s="15">
        <f t="shared" si="6"/>
        <v>14953103.415940013</v>
      </c>
      <c r="K17" s="15">
        <f t="shared" si="6"/>
        <v>17194440.848595101</v>
      </c>
      <c r="L17" s="15">
        <f t="shared" si="6"/>
        <v>19772795.191241425</v>
      </c>
    </row>
    <row r="18" spans="2:13" s="2" customFormat="1" x14ac:dyDescent="0.35">
      <c r="B18" s="7" t="s">
        <v>27</v>
      </c>
      <c r="C18" s="14">
        <f t="shared" ref="C18:L18" si="7">(C11+C17)/2*$C$1</f>
        <v>85018.875</v>
      </c>
      <c r="D18" s="14">
        <f t="shared" si="7"/>
        <v>109132.95704596875</v>
      </c>
      <c r="E18" s="14">
        <f t="shared" si="7"/>
        <v>135656.92715317756</v>
      </c>
      <c r="F18" s="14">
        <f t="shared" si="7"/>
        <v>131495.75324572713</v>
      </c>
      <c r="G18" s="14">
        <f t="shared" si="7"/>
        <v>134966.32164589074</v>
      </c>
      <c r="H18" s="14">
        <f t="shared" si="7"/>
        <v>156824.79233127728</v>
      </c>
      <c r="I18" s="14">
        <f t="shared" si="7"/>
        <v>180298.97677033592</v>
      </c>
      <c r="J18" s="14">
        <f t="shared" si="7"/>
        <v>207302.8381732261</v>
      </c>
      <c r="K18" s="14">
        <f t="shared" si="7"/>
        <v>238367.11359287269</v>
      </c>
      <c r="L18" s="14">
        <f t="shared" si="7"/>
        <v>274102.34393457411</v>
      </c>
    </row>
    <row r="19" spans="2:13" s="2" customFormat="1" x14ac:dyDescent="0.35">
      <c r="B19" s="6" t="s">
        <v>28</v>
      </c>
      <c r="C19" s="15">
        <f t="shared" ref="C19:L19" si="8">C17-C18</f>
        <v>6250831.125</v>
      </c>
      <c r="D19" s="15">
        <f t="shared" si="8"/>
        <v>8191096.857416532</v>
      </c>
      <c r="E19" s="15">
        <f t="shared" si="8"/>
        <v>9760836.5025206339</v>
      </c>
      <c r="F19" s="15">
        <f t="shared" si="8"/>
        <v>8261602.14416805</v>
      </c>
      <c r="G19" s="15">
        <f t="shared" si="8"/>
        <v>9598941.0869714916</v>
      </c>
      <c r="H19" s="15">
        <f t="shared" si="8"/>
        <v>11154206.431534203</v>
      </c>
      <c r="I19" s="15">
        <f t="shared" si="8"/>
        <v>12824432.408246698</v>
      </c>
      <c r="J19" s="15">
        <f t="shared" si="8"/>
        <v>14745800.577766787</v>
      </c>
      <c r="K19" s="15">
        <f t="shared" si="8"/>
        <v>16956073.735002227</v>
      </c>
      <c r="L19" s="15">
        <f t="shared" si="8"/>
        <v>19498692.847306851</v>
      </c>
    </row>
    <row r="20" spans="2:13" s="2" customFormat="1" x14ac:dyDescent="0.35"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13" s="2" customFormat="1" x14ac:dyDescent="0.35">
      <c r="B21" s="7" t="s">
        <v>10</v>
      </c>
      <c r="C21" s="17"/>
      <c r="D21" s="17"/>
      <c r="E21" s="17"/>
      <c r="F21" s="17">
        <f>MAX(E19,C11)</f>
        <v>9760836.5025206339</v>
      </c>
      <c r="G21" s="17">
        <f t="shared" ref="G21:L21" si="9">MAX(F21,F19)</f>
        <v>9760836.5025206339</v>
      </c>
      <c r="H21" s="17">
        <f t="shared" si="9"/>
        <v>9760836.5025206339</v>
      </c>
      <c r="I21" s="17">
        <f t="shared" si="9"/>
        <v>11154206.431534203</v>
      </c>
      <c r="J21" s="17">
        <f t="shared" si="9"/>
        <v>12824432.408246698</v>
      </c>
      <c r="K21" s="17">
        <f t="shared" si="9"/>
        <v>14745800.577766787</v>
      </c>
      <c r="L21" s="17">
        <f t="shared" si="9"/>
        <v>16956073.735002227</v>
      </c>
    </row>
    <row r="22" spans="2:13" s="2" customFormat="1" x14ac:dyDescent="0.35">
      <c r="B22" s="19" t="s">
        <v>29</v>
      </c>
      <c r="C22" s="21"/>
      <c r="D22" s="21"/>
      <c r="E22" s="21"/>
      <c r="F22" s="21">
        <f>IF(E27&lt;=0,C11,MAX(E22,E29))</f>
        <v>9139669.2020165082</v>
      </c>
      <c r="G22" s="21">
        <f t="shared" ref="G22:L22" si="10">IF(F27&lt;=0,F22,MAX(F22,F29))</f>
        <v>9139669.2020165082</v>
      </c>
      <c r="H22" s="21">
        <f t="shared" si="10"/>
        <v>9139669.2020165082</v>
      </c>
      <c r="I22" s="21">
        <f t="shared" si="10"/>
        <v>11035132.184361091</v>
      </c>
      <c r="J22" s="21">
        <f t="shared" si="10"/>
        <v>12687275.007156799</v>
      </c>
      <c r="K22" s="21">
        <f t="shared" si="10"/>
        <v>14587840.963787926</v>
      </c>
      <c r="L22" s="21">
        <f t="shared" si="10"/>
        <v>16774184.000035126</v>
      </c>
    </row>
    <row r="23" spans="2:13" s="2" customFormat="1" x14ac:dyDescent="0.35">
      <c r="B23" s="19" t="s">
        <v>30</v>
      </c>
      <c r="C23" s="21">
        <f>C11</f>
        <v>5000000</v>
      </c>
      <c r="D23" s="21">
        <f>C23</f>
        <v>5000000</v>
      </c>
      <c r="E23" s="21">
        <f>D23</f>
        <v>5000000</v>
      </c>
      <c r="F23" s="21">
        <f>F11</f>
        <v>9139669.2020165082</v>
      </c>
      <c r="G23" s="21">
        <f t="shared" ref="G23:L23" si="11">G11</f>
        <v>8261602.14416805</v>
      </c>
      <c r="H23" s="21">
        <f t="shared" si="11"/>
        <v>9598941.0869714916</v>
      </c>
      <c r="I23" s="21">
        <f t="shared" si="11"/>
        <v>11035132.184361091</v>
      </c>
      <c r="J23" s="21">
        <f t="shared" si="11"/>
        <v>12687275.007156799</v>
      </c>
      <c r="K23" s="21">
        <f t="shared" si="11"/>
        <v>14587840.963787926</v>
      </c>
      <c r="L23" s="21">
        <f t="shared" si="11"/>
        <v>16774184.000035126</v>
      </c>
    </row>
    <row r="24" spans="2:13" s="2" customFormat="1" ht="29" x14ac:dyDescent="0.35">
      <c r="B24" s="20" t="s">
        <v>31</v>
      </c>
      <c r="C24" s="22">
        <f>MAX(C22:C23)</f>
        <v>5000000</v>
      </c>
      <c r="D24" s="22">
        <f t="shared" ref="D24:L24" si="12">MAX(D22:D23)</f>
        <v>5000000</v>
      </c>
      <c r="E24" s="22">
        <f t="shared" si="12"/>
        <v>5000000</v>
      </c>
      <c r="F24" s="22">
        <f t="shared" si="12"/>
        <v>9139669.2020165082</v>
      </c>
      <c r="G24" s="22">
        <f t="shared" si="12"/>
        <v>9139669.2020165082</v>
      </c>
      <c r="H24" s="22">
        <f t="shared" si="12"/>
        <v>9598941.0869714916</v>
      </c>
      <c r="I24" s="22">
        <f t="shared" si="12"/>
        <v>11035132.184361091</v>
      </c>
      <c r="J24" s="22">
        <f t="shared" si="12"/>
        <v>12687275.007156799</v>
      </c>
      <c r="K24" s="22">
        <f t="shared" si="12"/>
        <v>14587840.963787926</v>
      </c>
      <c r="L24" s="22">
        <f t="shared" si="12"/>
        <v>16774184.000035126</v>
      </c>
    </row>
    <row r="25" spans="2:13" x14ac:dyDescent="0.35">
      <c r="B25" s="7" t="s">
        <v>9</v>
      </c>
      <c r="C25" s="14">
        <f>$C$11*(1+$C$3)^C10</f>
        <v>5500000</v>
      </c>
      <c r="D25" s="14">
        <f>$C$11*(1+$C$3)^D10</f>
        <v>6050000.0000000009</v>
      </c>
      <c r="E25" s="14">
        <f>$C$11*(1+$C$3)^E10</f>
        <v>6655000.0000000019</v>
      </c>
      <c r="F25" s="14">
        <f>F24*(1+$C$3)</f>
        <v>10053636.12221816</v>
      </c>
      <c r="G25" s="14">
        <f t="shared" ref="G25:L25" si="13">G24*(1+$C$3)</f>
        <v>10053636.12221816</v>
      </c>
      <c r="H25" s="14">
        <f t="shared" si="13"/>
        <v>10558835.195668641</v>
      </c>
      <c r="I25" s="14">
        <f t="shared" si="13"/>
        <v>12138645.402797202</v>
      </c>
      <c r="J25" s="14">
        <f t="shared" si="13"/>
        <v>13956002.507872479</v>
      </c>
      <c r="K25" s="14">
        <f t="shared" si="13"/>
        <v>16046625.06016672</v>
      </c>
      <c r="L25" s="14">
        <f t="shared" si="13"/>
        <v>18451602.400038641</v>
      </c>
      <c r="M25" s="11"/>
    </row>
    <row r="26" spans="2:13" x14ac:dyDescent="0.35">
      <c r="B26" s="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6"/>
    </row>
    <row r="27" spans="2:13" x14ac:dyDescent="0.35">
      <c r="B27" s="7" t="s">
        <v>8</v>
      </c>
      <c r="C27" s="14">
        <f t="shared" ref="C27:L27" si="14">IF(OR(C34="N",C10&gt;2),IF(C19&gt;C25,(C19-C25)*$C$2,0),0)</f>
        <v>0</v>
      </c>
      <c r="D27" s="14">
        <f t="shared" si="14"/>
        <v>0</v>
      </c>
      <c r="E27" s="14">
        <f t="shared" si="14"/>
        <v>621167.30050412647</v>
      </c>
      <c r="F27" s="14">
        <f t="shared" si="14"/>
        <v>0</v>
      </c>
      <c r="G27" s="14">
        <f t="shared" si="14"/>
        <v>0</v>
      </c>
      <c r="H27" s="14">
        <f t="shared" si="14"/>
        <v>119074.24717311226</v>
      </c>
      <c r="I27" s="14">
        <f t="shared" si="14"/>
        <v>137157.40108989924</v>
      </c>
      <c r="J27" s="14">
        <f t="shared" si="14"/>
        <v>157959.61397886166</v>
      </c>
      <c r="K27" s="14">
        <f t="shared" si="14"/>
        <v>181889.73496710137</v>
      </c>
      <c r="L27" s="14">
        <f t="shared" si="14"/>
        <v>209418.08945364208</v>
      </c>
    </row>
    <row r="28" spans="2:13" x14ac:dyDescent="0.35">
      <c r="B28" s="7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3" x14ac:dyDescent="0.35">
      <c r="B29" s="6" t="s">
        <v>7</v>
      </c>
      <c r="C29" s="15">
        <f t="shared" ref="C29:L29" si="15">C19-(C27-C28)</f>
        <v>6250831.125</v>
      </c>
      <c r="D29" s="15">
        <f t="shared" si="15"/>
        <v>8191096.857416532</v>
      </c>
      <c r="E29" s="15">
        <f t="shared" si="15"/>
        <v>9139669.2020165082</v>
      </c>
      <c r="F29" s="15">
        <f t="shared" si="15"/>
        <v>8261602.14416805</v>
      </c>
      <c r="G29" s="15">
        <f t="shared" si="15"/>
        <v>9598941.0869714916</v>
      </c>
      <c r="H29" s="15">
        <f t="shared" si="15"/>
        <v>11035132.184361091</v>
      </c>
      <c r="I29" s="15">
        <f t="shared" si="15"/>
        <v>12687275.007156799</v>
      </c>
      <c r="J29" s="15">
        <f t="shared" si="15"/>
        <v>14587840.963787926</v>
      </c>
      <c r="K29" s="15">
        <f t="shared" si="15"/>
        <v>16774184.000035126</v>
      </c>
      <c r="L29" s="15">
        <f t="shared" si="15"/>
        <v>19289274.75785321</v>
      </c>
    </row>
    <row r="30" spans="2:13" x14ac:dyDescent="0.35">
      <c r="B30" s="6" t="s">
        <v>6</v>
      </c>
      <c r="C30" s="15">
        <f t="shared" ref="C30:L30" si="16">IF(C34="Y",0,C29*C7)</f>
        <v>0</v>
      </c>
      <c r="D30" s="15">
        <f t="shared" si="16"/>
        <v>0</v>
      </c>
      <c r="E30" s="15">
        <f t="shared" si="16"/>
        <v>0</v>
      </c>
      <c r="F30" s="15">
        <f t="shared" si="16"/>
        <v>0</v>
      </c>
      <c r="G30" s="15">
        <f t="shared" si="16"/>
        <v>0</v>
      </c>
      <c r="H30" s="15">
        <f t="shared" si="16"/>
        <v>0</v>
      </c>
      <c r="I30" s="15">
        <f t="shared" si="16"/>
        <v>0</v>
      </c>
      <c r="J30" s="15">
        <f t="shared" si="16"/>
        <v>0</v>
      </c>
      <c r="K30" s="15">
        <f t="shared" si="16"/>
        <v>0</v>
      </c>
      <c r="L30" s="15">
        <f t="shared" si="16"/>
        <v>0</v>
      </c>
    </row>
    <row r="31" spans="2:13" x14ac:dyDescent="0.35">
      <c r="B31" s="7" t="s">
        <v>5</v>
      </c>
      <c r="C31" s="14">
        <f t="shared" ref="C31:L31" si="17">C29-C30</f>
        <v>6250831.125</v>
      </c>
      <c r="D31" s="14">
        <f t="shared" si="17"/>
        <v>8191096.857416532</v>
      </c>
      <c r="E31" s="14">
        <f t="shared" si="17"/>
        <v>9139669.2020165082</v>
      </c>
      <c r="F31" s="14">
        <f t="shared" si="17"/>
        <v>8261602.14416805</v>
      </c>
      <c r="G31" s="14">
        <f t="shared" si="17"/>
        <v>9598941.0869714916</v>
      </c>
      <c r="H31" s="14">
        <f t="shared" si="17"/>
        <v>11035132.184361091</v>
      </c>
      <c r="I31" s="14">
        <f t="shared" si="17"/>
        <v>12687275.007156799</v>
      </c>
      <c r="J31" s="14">
        <f t="shared" si="17"/>
        <v>14587840.963787926</v>
      </c>
      <c r="K31" s="14">
        <f t="shared" si="17"/>
        <v>16774184.000035126</v>
      </c>
      <c r="L31" s="14">
        <f t="shared" si="17"/>
        <v>19289274.75785321</v>
      </c>
    </row>
    <row r="32" spans="2:13" s="2" customFormat="1" x14ac:dyDescent="0.35">
      <c r="B32" s="6" t="s">
        <v>4</v>
      </c>
      <c r="C32" s="5">
        <f>IFERROR((C18+C27)/AVERAGE(C11,C17),0)</f>
        <v>1.4999999999999999E-2</v>
      </c>
      <c r="D32" s="5">
        <f t="shared" ref="D32:L32" si="18">IFERROR((D18+D27)/AVERAGE(D11,D17),0)</f>
        <v>1.4999999999999999E-2</v>
      </c>
      <c r="E32" s="5">
        <f t="shared" si="18"/>
        <v>8.3684362111792449E-2</v>
      </c>
      <c r="F32" s="5">
        <f t="shared" si="18"/>
        <v>1.4999999999999999E-2</v>
      </c>
      <c r="G32" s="5">
        <f t="shared" si="18"/>
        <v>1.4999999999999998E-2</v>
      </c>
      <c r="H32" s="5">
        <f t="shared" si="18"/>
        <v>2.6389230497584147E-2</v>
      </c>
      <c r="I32" s="5">
        <f t="shared" si="18"/>
        <v>2.6410830239869561E-2</v>
      </c>
      <c r="J32" s="5">
        <f t="shared" si="18"/>
        <v>2.6429627450170339E-2</v>
      </c>
      <c r="K32" s="5">
        <f t="shared" si="18"/>
        <v>2.6445983396713411E-2</v>
      </c>
      <c r="L32" s="5">
        <f t="shared" si="18"/>
        <v>2.6460213352113564E-2</v>
      </c>
    </row>
    <row r="33" spans="2:14" x14ac:dyDescent="0.35">
      <c r="C33" s="12"/>
      <c r="D33" s="12"/>
      <c r="E33" s="12"/>
    </row>
    <row r="34" spans="2:14" x14ac:dyDescent="0.35">
      <c r="B34" s="2" t="s">
        <v>3</v>
      </c>
      <c r="C34" s="4" t="s">
        <v>2</v>
      </c>
      <c r="D34" s="4" t="s">
        <v>2</v>
      </c>
      <c r="E34" s="4" t="s">
        <v>2</v>
      </c>
      <c r="F34" s="4" t="s">
        <v>2</v>
      </c>
      <c r="G34" s="4" t="s">
        <v>2</v>
      </c>
      <c r="H34" s="4" t="s">
        <v>2</v>
      </c>
      <c r="I34" s="4" t="s">
        <v>2</v>
      </c>
      <c r="J34" s="4" t="s">
        <v>2</v>
      </c>
      <c r="K34" s="4" t="s">
        <v>2</v>
      </c>
      <c r="L34" s="4" t="s">
        <v>2</v>
      </c>
      <c r="N34" s="3" t="s">
        <v>2</v>
      </c>
    </row>
    <row r="35" spans="2:14" x14ac:dyDescent="0.35">
      <c r="N35" s="3" t="s">
        <v>1</v>
      </c>
    </row>
    <row r="37" spans="2:14" x14ac:dyDescent="0.35">
      <c r="B37" s="1"/>
      <c r="C37" t="s">
        <v>0</v>
      </c>
    </row>
  </sheetData>
  <dataValidations count="1">
    <dataValidation type="list" allowBlank="1" showInputMessage="1" showErrorMessage="1" sqref="C34:L34" xr:uid="{D25B5BEC-FFDA-4236-8840-E139999555AE}">
      <formula1>$N$34:$N$35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Hybrid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Nitesh Bhadani</dc:creator>
  <cp:lastModifiedBy>Pooja Verma</cp:lastModifiedBy>
  <dcterms:created xsi:type="dcterms:W3CDTF">2019-08-30T09:45:14Z</dcterms:created>
  <dcterms:modified xsi:type="dcterms:W3CDTF">2023-08-29T05:54:04Z</dcterms:modified>
</cp:coreProperties>
</file>