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https://marcellusindia-my.sharepoint.com/personal/pooja_marcellus_in/Documents/Documents/"/>
    </mc:Choice>
  </mc:AlternateContent>
  <xr:revisionPtr revIDLastSave="0" documentId="8_{3ED581E6-4480-4197-8EBF-3C0E1C734717}" xr6:coauthVersionLast="47" xr6:coauthVersionMax="47" xr10:uidLastSave="{00000000-0000-0000-0000-000000000000}"/>
  <bookViews>
    <workbookView xWindow="-110" yWindow="-110" windowWidth="19420" windowHeight="10420" firstSheet="1" activeTab="1" xr2:uid="{00000000-000D-0000-FFFF-FFFF00000000}"/>
  </bookViews>
  <sheets>
    <sheet name="Coffee Can fees" sheetId="1" state="hidden" r:id="rId1"/>
    <sheet name="Pure Fixed Fees" sheetId="9" r:id="rId2"/>
    <sheet name="Pure variable Fee" sheetId="6" r:id="rId3"/>
    <sheet name="Hybrid Fee" sheetId="8"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9" l="1"/>
  <c r="M32" i="9"/>
  <c r="C5" i="8"/>
  <c r="C15" i="8"/>
  <c r="H25" i="6" l="1"/>
  <c r="G25" i="6"/>
  <c r="F25" i="6"/>
  <c r="E25" i="6"/>
  <c r="D25" i="6"/>
  <c r="C25" i="6"/>
  <c r="L25" i="6" l="1"/>
  <c r="K25" i="6"/>
  <c r="J25" i="6"/>
  <c r="I25" i="6"/>
  <c r="D14" i="6"/>
  <c r="C16" i="6"/>
  <c r="D16" i="6" s="1"/>
  <c r="C15" i="6"/>
  <c r="C14" i="6"/>
  <c r="H9" i="6" l="1"/>
  <c r="G9" i="8"/>
  <c r="C9" i="8"/>
  <c r="D9" i="8"/>
  <c r="E9" i="8"/>
  <c r="F9" i="8"/>
  <c r="F9" i="6"/>
  <c r="E9" i="6"/>
  <c r="D9" i="6"/>
  <c r="C9" i="6"/>
  <c r="D29" i="9"/>
  <c r="E29" i="9" s="1"/>
  <c r="F29" i="9" s="1"/>
  <c r="G29" i="9" s="1"/>
  <c r="H29" i="9" s="1"/>
  <c r="I29" i="9" s="1"/>
  <c r="J29" i="9" s="1"/>
  <c r="K29" i="9" s="1"/>
  <c r="L29" i="9" s="1"/>
  <c r="H9" i="8" l="1"/>
  <c r="G9" i="6"/>
  <c r="C16" i="9"/>
  <c r="D16" i="9" s="1"/>
  <c r="E16" i="9" s="1"/>
  <c r="F16" i="9" s="1"/>
  <c r="G16" i="9" s="1"/>
  <c r="H16" i="9" s="1"/>
  <c r="I16" i="9" s="1"/>
  <c r="J16" i="9" s="1"/>
  <c r="K16" i="9" s="1"/>
  <c r="L16" i="9" s="1"/>
  <c r="C14" i="9"/>
  <c r="D14" i="9" s="1"/>
  <c r="E14" i="9" s="1"/>
  <c r="F14" i="9" s="1"/>
  <c r="G14" i="9" s="1"/>
  <c r="H14" i="9" s="1"/>
  <c r="I14" i="9" s="1"/>
  <c r="J14" i="9" s="1"/>
  <c r="K14" i="9" s="1"/>
  <c r="L14" i="9" s="1"/>
  <c r="C12" i="9"/>
  <c r="D10" i="9"/>
  <c r="E10" i="9" s="1"/>
  <c r="F10" i="9" s="1"/>
  <c r="G10" i="9" s="1"/>
  <c r="H10" i="9" s="1"/>
  <c r="I10" i="9" s="1"/>
  <c r="J10" i="9" s="1"/>
  <c r="K10" i="9" s="1"/>
  <c r="L10" i="9" s="1"/>
  <c r="C5" i="9"/>
  <c r="C15" i="9" s="1"/>
  <c r="J9" i="6" l="1"/>
  <c r="I9" i="8"/>
  <c r="I9" i="6"/>
  <c r="J9" i="8"/>
  <c r="C17" i="9"/>
  <c r="K9" i="8" l="1"/>
  <c r="K9" i="6"/>
  <c r="C30" i="9"/>
  <c r="L9" i="8" l="1"/>
  <c r="L9" i="6"/>
  <c r="C21" i="9"/>
  <c r="C20" i="9"/>
  <c r="D11" i="9" s="1"/>
  <c r="D12" i="9" l="1"/>
  <c r="D19" i="9" s="1"/>
  <c r="D15" i="9"/>
  <c r="D17" i="9" l="1"/>
  <c r="D30" i="9" l="1"/>
  <c r="D21" i="9"/>
  <c r="D20" i="9"/>
  <c r="E11" i="9" s="1"/>
  <c r="E12" i="9" l="1"/>
  <c r="E19" i="9" s="1"/>
  <c r="E15" i="9"/>
  <c r="E17" i="9" l="1"/>
  <c r="E20" i="9"/>
  <c r="F11" i="9" s="1"/>
  <c r="F12" i="9" l="1"/>
  <c r="F15" i="9"/>
  <c r="E30" i="9"/>
  <c r="E21" i="9"/>
  <c r="F19" i="9" l="1"/>
  <c r="F17" i="9"/>
  <c r="F20" i="9" s="1"/>
  <c r="G11" i="9" s="1"/>
  <c r="G15" i="9" l="1"/>
  <c r="G12" i="9"/>
  <c r="G19" i="9" s="1"/>
  <c r="F30" i="9"/>
  <c r="F21" i="9"/>
  <c r="G17" i="9" l="1"/>
  <c r="G30" i="9" s="1"/>
  <c r="G21" i="9" l="1"/>
  <c r="G20" i="9"/>
  <c r="H11" i="9" s="1"/>
  <c r="H15" i="9" l="1"/>
  <c r="H12" i="9"/>
  <c r="H17" i="9" s="1"/>
  <c r="H19" i="9" l="1"/>
  <c r="H30" i="9" s="1"/>
  <c r="H20" i="9"/>
  <c r="I11" i="9" s="1"/>
  <c r="H21" i="9"/>
  <c r="I15" i="9" l="1"/>
  <c r="I12" i="9"/>
  <c r="I17" i="9" s="1"/>
  <c r="I19" i="9" l="1"/>
  <c r="I30" i="9" s="1"/>
  <c r="I20" i="9" l="1"/>
  <c r="J11" i="9" s="1"/>
  <c r="J15" i="9" s="1"/>
  <c r="I21" i="9"/>
  <c r="J12" i="9"/>
  <c r="J19" i="9" l="1"/>
  <c r="J17" i="9"/>
  <c r="J30" i="9" l="1"/>
  <c r="J21" i="9"/>
  <c r="J20" i="9"/>
  <c r="K11" i="9" s="1"/>
  <c r="K12" i="9" l="1"/>
  <c r="K15" i="9"/>
  <c r="K19" i="9" l="1"/>
  <c r="K17" i="9"/>
  <c r="K20" i="9" l="1"/>
  <c r="L11" i="9" s="1"/>
  <c r="K30" i="9"/>
  <c r="K21" i="9"/>
  <c r="L12" i="9" l="1"/>
  <c r="L15" i="9"/>
  <c r="L17" i="9" s="1"/>
  <c r="L19" i="9" l="1"/>
  <c r="L20" i="9" s="1"/>
  <c r="L30" i="9"/>
  <c r="M30" i="9" s="1"/>
  <c r="L21" i="9"/>
  <c r="C23" i="8" l="1"/>
  <c r="C22" i="8"/>
  <c r="C24" i="8" s="1"/>
  <c r="C25" i="8" s="1"/>
  <c r="C20" i="8"/>
  <c r="C16" i="8"/>
  <c r="D16" i="8" s="1"/>
  <c r="E16" i="8" s="1"/>
  <c r="F16" i="8" s="1"/>
  <c r="G16" i="8" s="1"/>
  <c r="H16" i="8" s="1"/>
  <c r="I16" i="8" s="1"/>
  <c r="J16" i="8" s="1"/>
  <c r="K16" i="8" s="1"/>
  <c r="L16" i="8" s="1"/>
  <c r="C14" i="8"/>
  <c r="D14" i="8" s="1"/>
  <c r="E14" i="8" s="1"/>
  <c r="F14" i="8" s="1"/>
  <c r="G14" i="8" s="1"/>
  <c r="H14" i="8" s="1"/>
  <c r="I14" i="8" s="1"/>
  <c r="J14" i="8" s="1"/>
  <c r="K14" i="8" s="1"/>
  <c r="L14" i="8" s="1"/>
  <c r="C12" i="8"/>
  <c r="C17" i="8" s="1"/>
  <c r="D10" i="8"/>
  <c r="E10" i="8" s="1"/>
  <c r="F10" i="8" s="1"/>
  <c r="G10" i="8" s="1"/>
  <c r="H10" i="8" s="1"/>
  <c r="I10" i="8" s="1"/>
  <c r="J10" i="8" s="1"/>
  <c r="K10" i="8" s="1"/>
  <c r="L10" i="8" s="1"/>
  <c r="C18" i="8" l="1"/>
  <c r="C27" i="8" s="1"/>
  <c r="C28" i="8" l="1"/>
  <c r="C29" i="8"/>
  <c r="D11" i="8" s="1"/>
  <c r="D20" i="8"/>
  <c r="C30" i="8" l="1"/>
  <c r="C32" i="9"/>
  <c r="D23" i="8"/>
  <c r="D15" i="8"/>
  <c r="D22" i="8"/>
  <c r="D24" i="8" s="1"/>
  <c r="D25" i="8" s="1"/>
  <c r="D12" i="8"/>
  <c r="D17" i="8" l="1"/>
  <c r="D18" i="8" s="1"/>
  <c r="D27" i="8" s="1"/>
  <c r="D28" i="8" l="1"/>
  <c r="D29" i="8"/>
  <c r="E11" i="8" s="1"/>
  <c r="E20" i="8"/>
  <c r="E22" i="8"/>
  <c r="D30" i="8" l="1"/>
  <c r="D32" i="9"/>
  <c r="E12" i="8"/>
  <c r="E15" i="8"/>
  <c r="E17" i="8"/>
  <c r="E18" i="8" s="1"/>
  <c r="E23" i="8"/>
  <c r="E24" i="8" s="1"/>
  <c r="E25" i="8" s="1"/>
  <c r="E27" i="8" l="1"/>
  <c r="E28" i="8" l="1"/>
  <c r="F20" i="8"/>
  <c r="E29" i="8"/>
  <c r="F11" i="8" s="1"/>
  <c r="E30" i="8" l="1"/>
  <c r="E32" i="9"/>
  <c r="F23" i="8"/>
  <c r="F15" i="8"/>
  <c r="F12" i="8"/>
  <c r="F22" i="8"/>
  <c r="F24" i="8" s="1"/>
  <c r="F25" i="8" s="1"/>
  <c r="F17" i="8" l="1"/>
  <c r="F18" i="8" s="1"/>
  <c r="F27" i="8" s="1"/>
  <c r="F28" i="8" l="1"/>
  <c r="G20" i="8"/>
  <c r="F29" i="8"/>
  <c r="G11" i="8" s="1"/>
  <c r="G15" i="8" s="1"/>
  <c r="G22" i="8"/>
  <c r="F30" i="8" l="1"/>
  <c r="F32" i="9"/>
  <c r="G23" i="8"/>
  <c r="G24" i="8" s="1"/>
  <c r="G25" i="8" s="1"/>
  <c r="G12" i="8"/>
  <c r="G17" i="8" s="1"/>
  <c r="G18" i="8" s="1"/>
  <c r="G27" i="8" l="1"/>
  <c r="G28" i="8" l="1"/>
  <c r="H20" i="8"/>
  <c r="G29" i="8"/>
  <c r="H11" i="8" s="1"/>
  <c r="H22" i="8"/>
  <c r="G30" i="8" l="1"/>
  <c r="G32" i="9"/>
  <c r="H23" i="8"/>
  <c r="H15" i="8"/>
  <c r="H12" i="8"/>
  <c r="H24" i="8"/>
  <c r="H25" i="8" s="1"/>
  <c r="H17" i="8" l="1"/>
  <c r="H18" i="8" s="1"/>
  <c r="H27" i="8" s="1"/>
  <c r="H28" i="8" l="1"/>
  <c r="I20" i="8"/>
  <c r="H29" i="8"/>
  <c r="I11" i="8" s="1"/>
  <c r="I15" i="8" s="1"/>
  <c r="H30" i="8" l="1"/>
  <c r="H32" i="9"/>
  <c r="I22" i="8"/>
  <c r="I12" i="8"/>
  <c r="I17" i="8" s="1"/>
  <c r="I18" i="8" s="1"/>
  <c r="I23" i="8"/>
  <c r="I24" i="8" l="1"/>
  <c r="I25" i="8" s="1"/>
  <c r="I27" i="8" s="1"/>
  <c r="I29" i="8" l="1"/>
  <c r="J11" i="8" s="1"/>
  <c r="I28" i="8"/>
  <c r="J20" i="8"/>
  <c r="I30" i="8" l="1"/>
  <c r="I32" i="9"/>
  <c r="J12" i="8"/>
  <c r="J17" i="8" s="1"/>
  <c r="J18" i="8" s="1"/>
  <c r="J15" i="8"/>
  <c r="J23" i="8"/>
  <c r="J22" i="8"/>
  <c r="J24" i="8" l="1"/>
  <c r="J25" i="8" s="1"/>
  <c r="J27" i="8" s="1"/>
  <c r="J29" i="8" s="1"/>
  <c r="K11" i="8" s="1"/>
  <c r="K15" i="8" s="1"/>
  <c r="K22" i="8" l="1"/>
  <c r="J28" i="8"/>
  <c r="K20" i="8"/>
  <c r="K12" i="8"/>
  <c r="K23" i="8"/>
  <c r="J30" i="8" l="1"/>
  <c r="J32" i="9"/>
  <c r="K24" i="8"/>
  <c r="K25" i="8" s="1"/>
  <c r="K17" i="8"/>
  <c r="K18" i="8" s="1"/>
  <c r="K27" i="8" l="1"/>
  <c r="K28" i="8" s="1"/>
  <c r="K30" i="8" l="1"/>
  <c r="K32" i="9"/>
  <c r="K29" i="8"/>
  <c r="L11" i="8" s="1"/>
  <c r="L20" i="8"/>
  <c r="L12" i="8" l="1"/>
  <c r="L15" i="8"/>
  <c r="L22" i="8"/>
  <c r="L23" i="8"/>
  <c r="C21" i="6"/>
  <c r="C23" i="6" s="1"/>
  <c r="C24" i="6" s="1"/>
  <c r="C22" i="6"/>
  <c r="C19" i="6"/>
  <c r="E16" i="6"/>
  <c r="F16" i="6" s="1"/>
  <c r="G16" i="6" s="1"/>
  <c r="H16" i="6" s="1"/>
  <c r="I16" i="6" s="1"/>
  <c r="J16" i="6" s="1"/>
  <c r="K16" i="6" s="1"/>
  <c r="L16" i="6" s="1"/>
  <c r="E14" i="6"/>
  <c r="F14" i="6" s="1"/>
  <c r="G14" i="6" s="1"/>
  <c r="H14" i="6" s="1"/>
  <c r="I14" i="6" s="1"/>
  <c r="J14" i="6" s="1"/>
  <c r="K14" i="6" s="1"/>
  <c r="L14" i="6" s="1"/>
  <c r="C12" i="6"/>
  <c r="D10" i="6"/>
  <c r="E10" i="6" s="1"/>
  <c r="F10" i="6" s="1"/>
  <c r="G10" i="6" s="1"/>
  <c r="H10" i="6" s="1"/>
  <c r="I10" i="6" s="1"/>
  <c r="J10" i="6" s="1"/>
  <c r="K10" i="6" s="1"/>
  <c r="L10" i="6" s="1"/>
  <c r="C5" i="6"/>
  <c r="L17" i="8" l="1"/>
  <c r="L18" i="8" s="1"/>
  <c r="L24" i="8"/>
  <c r="L25" i="8" s="1"/>
  <c r="L27" i="8" s="1"/>
  <c r="L28" i="8" s="1"/>
  <c r="C17" i="6"/>
  <c r="L30" i="8" l="1"/>
  <c r="L32" i="9"/>
  <c r="L29" i="8"/>
  <c r="C26" i="6"/>
  <c r="C27" i="6" s="1"/>
  <c r="D11" i="6" s="1"/>
  <c r="D22" i="6" l="1"/>
  <c r="D15" i="6"/>
  <c r="D19" i="6"/>
  <c r="C28" i="6"/>
  <c r="C31" i="9"/>
  <c r="D21" i="6"/>
  <c r="D23" i="6" s="1"/>
  <c r="D24" i="6" s="1"/>
  <c r="D12" i="6"/>
  <c r="I6" i="1"/>
  <c r="I7" i="1" s="1"/>
  <c r="I8" i="1" s="1"/>
  <c r="I9" i="1" s="1"/>
  <c r="D8" i="1"/>
  <c r="D6" i="1"/>
  <c r="D7" i="1" s="1"/>
  <c r="D17" i="6" l="1"/>
  <c r="D26" i="6" s="1"/>
  <c r="I10" i="1"/>
  <c r="D9" i="1"/>
  <c r="D31" i="9" l="1"/>
  <c r="D28" i="6"/>
  <c r="E19" i="6"/>
  <c r="D27" i="6"/>
  <c r="E21" i="6" s="1"/>
  <c r="D10" i="1"/>
  <c r="E5" i="1" s="1"/>
  <c r="J5" i="1"/>
  <c r="E11" i="6" l="1"/>
  <c r="E22" i="6" s="1"/>
  <c r="E23" i="6" s="1"/>
  <c r="E24" i="6" s="1"/>
  <c r="E8" i="1"/>
  <c r="J6" i="1"/>
  <c r="J7" i="1" s="1"/>
  <c r="E6" i="1"/>
  <c r="E7" i="1" s="1"/>
  <c r="E15" i="6" l="1"/>
  <c r="E12" i="6"/>
  <c r="J8" i="1"/>
  <c r="J9" i="1" s="1"/>
  <c r="J10" i="1" s="1"/>
  <c r="E9" i="1"/>
  <c r="E17" i="6" l="1"/>
  <c r="E26" i="6" s="1"/>
  <c r="E31" i="9" s="1"/>
  <c r="E10" i="1"/>
  <c r="E27" i="6" l="1"/>
  <c r="F11" i="6" s="1"/>
  <c r="F22" i="6" s="1"/>
  <c r="F19" i="6"/>
  <c r="E28" i="6"/>
  <c r="F21" i="6"/>
  <c r="F23" i="6" s="1"/>
  <c r="F24" i="6" s="1"/>
  <c r="F12" i="6"/>
  <c r="F15" i="6"/>
  <c r="F17" i="6" l="1"/>
  <c r="F26" i="6" s="1"/>
  <c r="F31" i="9" s="1"/>
  <c r="G19" i="6" l="1"/>
  <c r="F28" i="6"/>
  <c r="F27" i="6"/>
  <c r="G11" i="6" s="1"/>
  <c r="G22" i="6" s="1"/>
  <c r="G21" i="6" l="1"/>
  <c r="G23" i="6" s="1"/>
  <c r="G24" i="6" s="1"/>
  <c r="G15" i="6"/>
  <c r="G12" i="6"/>
  <c r="G17" i="6" l="1"/>
  <c r="G26" i="6" s="1"/>
  <c r="G31" i="9" s="1"/>
  <c r="H19" i="6" l="1"/>
  <c r="G28" i="6"/>
  <c r="G27" i="6"/>
  <c r="H11" i="6" s="1"/>
  <c r="H22" i="6" s="1"/>
  <c r="H21" i="6" l="1"/>
  <c r="H23" i="6" s="1"/>
  <c r="H24" i="6" s="1"/>
  <c r="H15" i="6"/>
  <c r="H12" i="6"/>
  <c r="H17" i="6" l="1"/>
  <c r="H26" i="6" s="1"/>
  <c r="H31" i="9" s="1"/>
  <c r="I19" i="6" l="1"/>
  <c r="H28" i="6"/>
  <c r="H27" i="6"/>
  <c r="I11" i="6" s="1"/>
  <c r="I22" i="6" s="1"/>
  <c r="I21" i="6" l="1"/>
  <c r="I23" i="6" s="1"/>
  <c r="I24" i="6" s="1"/>
  <c r="I15" i="6"/>
  <c r="I12" i="6"/>
  <c r="I17" i="6" l="1"/>
  <c r="I26" i="6" s="1"/>
  <c r="I31" i="9" s="1"/>
  <c r="J19" i="6" l="1"/>
  <c r="I28" i="6"/>
  <c r="I27" i="6"/>
  <c r="J11" i="6" s="1"/>
  <c r="J22" i="6" s="1"/>
  <c r="J21" i="6" l="1"/>
  <c r="J23" i="6" s="1"/>
  <c r="J24" i="6" s="1"/>
  <c r="J15" i="6"/>
  <c r="J12" i="6"/>
  <c r="J17" i="6" l="1"/>
  <c r="J26" i="6" s="1"/>
  <c r="J31" i="9" s="1"/>
  <c r="J27" i="6" l="1"/>
  <c r="K11" i="6" s="1"/>
  <c r="K22" i="6" s="1"/>
  <c r="K19" i="6"/>
  <c r="J28" i="6"/>
  <c r="K21" i="6" l="1"/>
  <c r="K23" i="6" s="1"/>
  <c r="K24" i="6" s="1"/>
  <c r="K15" i="6"/>
  <c r="K12" i="6"/>
  <c r="K17" i="6" l="1"/>
  <c r="K26" i="6" s="1"/>
  <c r="K31" i="9" s="1"/>
  <c r="L19" i="6" l="1"/>
  <c r="K27" i="6"/>
  <c r="L11" i="6" s="1"/>
  <c r="L22" i="6" s="1"/>
  <c r="K28" i="6"/>
  <c r="L21" i="6" l="1"/>
  <c r="L23" i="6" s="1"/>
  <c r="L24" i="6" s="1"/>
  <c r="L12" i="6"/>
  <c r="L15" i="6"/>
  <c r="L17" i="6" l="1"/>
  <c r="L26" i="6" s="1"/>
  <c r="L31" i="9" s="1"/>
  <c r="M31" i="9" l="1"/>
  <c r="L27" i="6"/>
  <c r="L2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tc={A1F484EE-1F61-41B3-8774-20B84E84162B}</author>
  </authors>
  <commentList>
    <comment ref="D14" authorId="0" shapeId="0" xr:uid="{A1F484EE-1F61-41B3-8774-20B84E84162B}">
      <text>
        <t>[Threaded comment]
Your version of Excel allows you to read this threaded comment; however, any edits to it will get removed if the file is opened in a newer version of Excel. Learn more: https://go.microsoft.com/fwlink/?linkid=870924
Comment:
    Assumption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tc={3D0FF505-96DF-4C6B-A02C-7C694B4F21FC}</author>
  </authors>
  <commentList>
    <comment ref="D14" authorId="0" shapeId="0" xr:uid="{3D0FF505-96DF-4C6B-A02C-7C694B4F21FC}">
      <text>
        <t>[Threaded comment]
Your version of Excel allows you to read this threaded comment; however, any edits to it will get removed if the file is opened in a newer version of Excel. Learn more: https://go.microsoft.com/fwlink/?linkid=870924
Comment:
    Assumption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tc={D2B1E72E-A0E5-4D4D-8511-2B29405C0072}</author>
  </authors>
  <commentList>
    <comment ref="D14" authorId="0" shapeId="0" xr:uid="{D2B1E72E-A0E5-4D4D-8511-2B29405C0072}">
      <text>
        <t>[Threaded comment]
Your version of Excel allows you to read this threaded comment; however, any edits to it will get removed if the file is opened in a newer version of Excel. Learn more: https://go.microsoft.com/fwlink/?linkid=870924
Comment:
    Assumption</t>
      </text>
    </comment>
  </commentList>
</comments>
</file>

<file path=xl/sharedStrings.xml><?xml version="1.0" encoding="utf-8"?>
<sst xmlns="http://schemas.openxmlformats.org/spreadsheetml/2006/main" count="101" uniqueCount="40">
  <si>
    <t>Profit</t>
  </si>
  <si>
    <t>Year</t>
  </si>
  <si>
    <t>Opening capital</t>
  </si>
  <si>
    <t>Add profit</t>
  </si>
  <si>
    <t>Pre- fees AUM</t>
  </si>
  <si>
    <t>Hurdle AUM</t>
  </si>
  <si>
    <t>Fees</t>
  </si>
  <si>
    <t>Ending AUM</t>
  </si>
  <si>
    <t>Variable</t>
  </si>
  <si>
    <t>Fixed</t>
  </si>
  <si>
    <t>Pree fees AUM</t>
  </si>
  <si>
    <t>Avg. AUM</t>
  </si>
  <si>
    <t>Fees @ 2% of  Avg. AUM</t>
  </si>
  <si>
    <t>Return</t>
  </si>
  <si>
    <t>Profit share above hurdle</t>
  </si>
  <si>
    <t>Hurdle rate</t>
  </si>
  <si>
    <t>High Watermark</t>
  </si>
  <si>
    <t>Fixed fees</t>
  </si>
  <si>
    <t>Less: Accounting opening fees*</t>
  </si>
  <si>
    <t>* Charged by bank. For Individual account opening cost</t>
  </si>
  <si>
    <t>Less: Brokerage &amp; STT &amp; GST</t>
  </si>
  <si>
    <t>Custody &amp; Fund Accounting in bps</t>
  </si>
  <si>
    <t>Brokerage + STT (incl. GST) in bps</t>
  </si>
  <si>
    <t>Audit Fees</t>
  </si>
  <si>
    <t>Less: Custody &amp; Fund A/cing**</t>
  </si>
  <si>
    <t>** Custody &amp; Fund accounting is charged on average AUM. Here is charged on opening AUM for simplicity sake</t>
  </si>
  <si>
    <t>Lee: Audit Fees</t>
  </si>
  <si>
    <t>Amount on which Hurdle to be calculated (Higher of A or B)</t>
  </si>
  <si>
    <r>
      <t xml:space="preserve">Opening AUM - </t>
    </r>
    <r>
      <rPr>
        <b/>
        <sz val="11"/>
        <color theme="1"/>
        <rFont val="Calibri"/>
        <family val="2"/>
        <scheme val="minor"/>
      </rPr>
      <t>B</t>
    </r>
  </si>
  <si>
    <r>
      <t xml:space="preserve">High Watermark (Net of Fees) - </t>
    </r>
    <r>
      <rPr>
        <b/>
        <sz val="11"/>
        <color theme="1"/>
        <rFont val="Calibri"/>
        <family val="2"/>
        <scheme val="minor"/>
      </rPr>
      <t>A</t>
    </r>
  </si>
  <si>
    <t>Lee: Fixed Fees</t>
  </si>
  <si>
    <t>*** Statutory Taxes as Applicable</t>
  </si>
  <si>
    <t>Fees a % of Average AUM</t>
  </si>
  <si>
    <r>
      <rPr>
        <b/>
        <u/>
        <sz val="11"/>
        <color theme="1"/>
        <rFont val="Calibri"/>
        <family val="2"/>
        <scheme val="minor"/>
      </rPr>
      <t>Hurdle</t>
    </r>
    <r>
      <rPr>
        <sz val="11"/>
        <color theme="1"/>
        <rFont val="Calibri"/>
        <family val="2"/>
        <scheme val="minor"/>
      </rPr>
      <t xml:space="preserve"> is a minimum performance, a Portfolio Manager is required to deliver in a given period in order to charge Performance fee to its client.
However, performance fee is subject to High water mark principle. ‘High Water Mark’ (HWM) is the higher of either ‘corpus investment value’ or ‘highest NAV (pre-performance fee) at which client has paid the last performance fees.
The Hurdle is calculated on the maximum of </t>
    </r>
    <r>
      <rPr>
        <b/>
        <u/>
        <sz val="11"/>
        <color theme="1"/>
        <rFont val="Calibri"/>
        <family val="2"/>
        <scheme val="minor"/>
      </rPr>
      <t>Opening NAV</t>
    </r>
    <r>
      <rPr>
        <sz val="11"/>
        <color theme="1"/>
        <rFont val="Calibri"/>
        <family val="2"/>
        <scheme val="minor"/>
      </rPr>
      <t xml:space="preserve"> previous year HWM net of fees (for 1st year, HWM will be same as opening capital ) for the current year/billing period.
</t>
    </r>
    <r>
      <rPr>
        <b/>
        <sz val="11"/>
        <color theme="1"/>
        <rFont val="Calibri"/>
        <family val="2"/>
        <scheme val="minor"/>
      </rPr>
      <t xml:space="preserve">
</t>
    </r>
    <r>
      <rPr>
        <b/>
        <u/>
        <sz val="11"/>
        <color theme="1"/>
        <rFont val="Calibri"/>
        <family val="2"/>
        <scheme val="minor"/>
      </rPr>
      <t>Performance fees -</t>
    </r>
    <r>
      <rPr>
        <sz val="11"/>
        <color theme="1"/>
        <rFont val="Calibri"/>
        <family val="2"/>
        <scheme val="minor"/>
      </rPr>
      <t xml:space="preserve"> will be charged if two criterias are met:
On anniversary date portfolio value has to be above hurdle AUM</t>
    </r>
  </si>
  <si>
    <t>Pure Fixed Fees</t>
  </si>
  <si>
    <t>Pure variable Fee</t>
  </si>
  <si>
    <t>Hybrid Fee</t>
  </si>
  <si>
    <t>Total Fees</t>
  </si>
  <si>
    <t>Performance Fees</t>
  </si>
  <si>
    <t>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</si>
</sst>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0%"/>
  </numFmts>
  <fonts count="4" x14ac:knownFonts="1">
    <font>
      <sz val="11"/>
      <color theme="1"/>
      <name val="Calibri"/>
      <family val="2"/>
      <scheme val="minor"/>
    </font>
    <font>
      <b/>
      <sz val="11"/>
      <color theme="1"/>
      <name val="Calibri"/>
      <family val="2"/>
      <scheme val="minor"/>
    </font>
    <font>
      <sz val="11"/>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s>
  <cellStyleXfs count="3">
    <xf numFmtId="0" fontId="0" fillId="0" borderId="0"/>
    <xf numFmtId="164" fontId="2" fillId="0" borderId="0" applyFont="0" applyFill="0" applyBorder="0" applyAlignment="0" applyProtection="0"/>
    <xf numFmtId="9" fontId="2" fillId="0" borderId="0" applyFont="0" applyFill="0" applyBorder="0" applyAlignment="0" applyProtection="0"/>
  </cellStyleXfs>
  <cellXfs count="38">
    <xf numFmtId="0" fontId="0" fillId="0" borderId="0" xfId="0"/>
    <xf numFmtId="0" fontId="1" fillId="0" borderId="1" xfId="0" applyFont="1" applyBorder="1"/>
    <xf numFmtId="9" fontId="1" fillId="0" borderId="1" xfId="0" applyNumberFormat="1" applyFont="1" applyBorder="1"/>
    <xf numFmtId="0" fontId="1" fillId="0" borderId="0" xfId="0" applyFont="1"/>
    <xf numFmtId="0" fontId="0" fillId="0" borderId="1" xfId="0" applyBorder="1"/>
    <xf numFmtId="10" fontId="1" fillId="0" borderId="1" xfId="0" applyNumberFormat="1" applyFont="1" applyBorder="1"/>
    <xf numFmtId="10" fontId="1" fillId="2" borderId="1" xfId="0" applyNumberFormat="1" applyFont="1" applyFill="1" applyBorder="1"/>
    <xf numFmtId="9" fontId="1" fillId="2" borderId="0" xfId="0" applyNumberFormat="1" applyFont="1" applyFill="1"/>
    <xf numFmtId="3" fontId="0" fillId="0" borderId="1" xfId="1" applyNumberFormat="1" applyFont="1" applyBorder="1"/>
    <xf numFmtId="3" fontId="1" fillId="0" borderId="1" xfId="1" applyNumberFormat="1" applyFont="1" applyBorder="1"/>
    <xf numFmtId="165" fontId="1" fillId="2" borderId="0" xfId="1" applyNumberFormat="1" applyFont="1" applyFill="1"/>
    <xf numFmtId="165" fontId="1" fillId="0" borderId="0" xfId="1" applyNumberFormat="1" applyFont="1" applyFill="1"/>
    <xf numFmtId="3" fontId="1" fillId="3" borderId="1" xfId="1" applyNumberFormat="1" applyFont="1" applyFill="1" applyBorder="1"/>
    <xf numFmtId="0" fontId="1" fillId="3" borderId="0" xfId="0" applyFont="1" applyFill="1"/>
    <xf numFmtId="0" fontId="1" fillId="3" borderId="1" xfId="0" applyFont="1" applyFill="1" applyBorder="1" applyAlignment="1">
      <alignment wrapText="1"/>
    </xf>
    <xf numFmtId="0" fontId="0" fillId="3" borderId="1" xfId="0" applyFill="1" applyBorder="1"/>
    <xf numFmtId="3" fontId="2" fillId="3" borderId="1" xfId="1" applyNumberFormat="1" applyFont="1" applyFill="1" applyBorder="1"/>
    <xf numFmtId="166" fontId="1" fillId="2" borderId="0" xfId="0" applyNumberFormat="1" applyFont="1" applyFill="1"/>
    <xf numFmtId="0" fontId="0" fillId="0" borderId="0" xfId="0" applyAlignment="1">
      <alignment horizontal="center"/>
    </xf>
    <xf numFmtId="3" fontId="0" fillId="4" borderId="1" xfId="1" applyNumberFormat="1" applyFont="1" applyFill="1" applyBorder="1"/>
    <xf numFmtId="165" fontId="0" fillId="0" borderId="1" xfId="1" applyNumberFormat="1" applyFont="1" applyBorder="1"/>
    <xf numFmtId="9" fontId="0" fillId="0" borderId="10" xfId="2" applyFont="1" applyFill="1" applyBorder="1"/>
    <xf numFmtId="9" fontId="0" fillId="0" borderId="5" xfId="2" applyFont="1" applyFill="1" applyBorder="1"/>
    <xf numFmtId="3" fontId="1" fillId="0" borderId="0" xfId="0" applyNumberFormat="1" applyFont="1"/>
    <xf numFmtId="3" fontId="0" fillId="0" borderId="0" xfId="0" applyNumberFormat="1"/>
    <xf numFmtId="3" fontId="0" fillId="0" borderId="1" xfId="0" applyNumberFormat="1" applyBorder="1"/>
    <xf numFmtId="0" fontId="1" fillId="4" borderId="0" xfId="0" applyFont="1" applyFill="1"/>
    <xf numFmtId="0" fontId="0" fillId="4" borderId="0" xfId="0" applyFill="1"/>
    <xf numFmtId="3" fontId="0" fillId="4" borderId="0" xfId="0" applyNumberFormat="1" applyFill="1"/>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Nitesh Bhadani" id="{3495180E-C1D0-43F9-A45C-CE5A008BB2BA}" userId="Nitesh Bhadani"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4" dT="2020-06-24T10:40:26.49" personId="{3495180E-C1D0-43F9-A45C-CE5A008BB2BA}" id="{A1F484EE-1F61-41B3-8774-20B84E84162B}">
    <text>Assumption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D14" dT="2020-06-24T10:40:26.49" personId="{3495180E-C1D0-43F9-A45C-CE5A008BB2BA}" id="{3D0FF505-96DF-4C6B-A02C-7C694B4F21FC}">
    <text>Assumption</text>
  </threadedComment>
</ThreadedComments>
</file>

<file path=xl/threadedComments/threadedComment3.xml><?xml version="1.0" encoding="utf-8"?>
<ThreadedComments xmlns="http://schemas.microsoft.com/office/spreadsheetml/2018/threadedcomments" xmlns:x="http://schemas.openxmlformats.org/spreadsheetml/2006/main">
  <threadedComment ref="D14" dT="2020-06-24T10:40:26.49" personId="{3495180E-C1D0-43F9-A45C-CE5A008BB2BA}" id="{D2B1E72E-A0E5-4D4D-8511-2B29405C0072}">
    <text>Assumption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J10"/>
  <sheetViews>
    <sheetView workbookViewId="0">
      <selection activeCell="A7" sqref="A7"/>
    </sheetView>
  </sheetViews>
  <sheetFormatPr defaultRowHeight="14.5" x14ac:dyDescent="0.35"/>
  <cols>
    <col min="3" max="3" width="15" bestFit="1" customWidth="1"/>
    <col min="8" max="8" width="22.81640625" bestFit="1" customWidth="1"/>
  </cols>
  <sheetData>
    <row r="2" spans="3:10" x14ac:dyDescent="0.35">
      <c r="C2" s="3" t="s">
        <v>8</v>
      </c>
      <c r="H2" s="3" t="s">
        <v>9</v>
      </c>
    </row>
    <row r="3" spans="3:10" s="3" customFormat="1" x14ac:dyDescent="0.35">
      <c r="C3" s="1" t="s">
        <v>0</v>
      </c>
      <c r="D3" s="2">
        <v>0.2</v>
      </c>
      <c r="E3" s="5">
        <v>0.22500000000000001</v>
      </c>
      <c r="H3" s="1" t="s">
        <v>0</v>
      </c>
      <c r="I3" s="2">
        <v>0.05</v>
      </c>
      <c r="J3" s="2">
        <v>0.25</v>
      </c>
    </row>
    <row r="4" spans="3:10" s="3" customFormat="1" x14ac:dyDescent="0.35">
      <c r="C4" s="1" t="s">
        <v>1</v>
      </c>
      <c r="D4" s="1">
        <v>1</v>
      </c>
      <c r="E4" s="1">
        <v>2</v>
      </c>
      <c r="H4" s="1" t="s">
        <v>1</v>
      </c>
      <c r="I4" s="1">
        <v>1</v>
      </c>
      <c r="J4" s="1">
        <v>2</v>
      </c>
    </row>
    <row r="5" spans="3:10" x14ac:dyDescent="0.35">
      <c r="C5" s="4" t="s">
        <v>2</v>
      </c>
      <c r="D5" s="4">
        <v>100</v>
      </c>
      <c r="E5" s="4">
        <f>+D10</f>
        <v>117.6</v>
      </c>
      <c r="H5" s="4" t="s">
        <v>2</v>
      </c>
      <c r="I5" s="4">
        <v>100</v>
      </c>
      <c r="J5" s="4">
        <f>+I10</f>
        <v>102.95</v>
      </c>
    </row>
    <row r="6" spans="3:10" x14ac:dyDescent="0.35">
      <c r="C6" s="4" t="s">
        <v>3</v>
      </c>
      <c r="D6" s="4">
        <f>+D5*D3</f>
        <v>20</v>
      </c>
      <c r="E6" s="4">
        <f>+E5*E3</f>
        <v>26.46</v>
      </c>
      <c r="H6" s="4" t="s">
        <v>3</v>
      </c>
      <c r="I6" s="4">
        <f>+I5*I3</f>
        <v>5</v>
      </c>
      <c r="J6" s="4">
        <f>+J5*J3</f>
        <v>25.737500000000001</v>
      </c>
    </row>
    <row r="7" spans="3:10" x14ac:dyDescent="0.35">
      <c r="C7" s="4" t="s">
        <v>4</v>
      </c>
      <c r="D7" s="4">
        <f>SUM(D5:D6)</f>
        <v>120</v>
      </c>
      <c r="E7" s="4">
        <f>SUM(E5:E6)</f>
        <v>144.06</v>
      </c>
      <c r="H7" s="4" t="s">
        <v>10</v>
      </c>
      <c r="I7" s="4">
        <f>+I5+I6</f>
        <v>105</v>
      </c>
      <c r="J7" s="4">
        <f>+J5+J6</f>
        <v>128.6875</v>
      </c>
    </row>
    <row r="8" spans="3:10" x14ac:dyDescent="0.35">
      <c r="C8" s="4" t="s">
        <v>5</v>
      </c>
      <c r="D8" s="4">
        <f>+D5*1.08</f>
        <v>108</v>
      </c>
      <c r="E8" s="4">
        <f>+MAX(D8,D10)*1.08</f>
        <v>127.008</v>
      </c>
      <c r="H8" s="4" t="s">
        <v>11</v>
      </c>
      <c r="I8" s="4">
        <f>+(I7+I5)/2</f>
        <v>102.5</v>
      </c>
      <c r="J8" s="4">
        <f>+(J7+J5)/2</f>
        <v>115.81874999999999</v>
      </c>
    </row>
    <row r="9" spans="3:10" s="3" customFormat="1" x14ac:dyDescent="0.35">
      <c r="C9" s="1" t="s">
        <v>6</v>
      </c>
      <c r="D9" s="1">
        <f>+MAX(D7-D8,0)*0.2</f>
        <v>2.4000000000000004</v>
      </c>
      <c r="E9" s="1">
        <f>+MAX(E7-E8,0)*0.2</f>
        <v>3.4104000000000014</v>
      </c>
      <c r="H9" s="1" t="s">
        <v>12</v>
      </c>
      <c r="I9" s="1">
        <f>+I8*0.02</f>
        <v>2.0499999999999998</v>
      </c>
      <c r="J9" s="1">
        <f>+J8*0.02</f>
        <v>2.3163749999999999</v>
      </c>
    </row>
    <row r="10" spans="3:10" x14ac:dyDescent="0.35">
      <c r="C10" s="4" t="s">
        <v>7</v>
      </c>
      <c r="D10" s="4">
        <f>+D7-D9</f>
        <v>117.6</v>
      </c>
      <c r="E10" s="4">
        <f>+E7-E9</f>
        <v>140.64959999999999</v>
      </c>
      <c r="H10" s="4" t="s">
        <v>7</v>
      </c>
      <c r="I10" s="4">
        <f>+I7-I9</f>
        <v>102.95</v>
      </c>
      <c r="J10" s="4">
        <f>+J7-J9</f>
        <v>126.37112500000001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0A4D5-1BDF-42EC-B95B-06A32E4AAB06}">
  <dimension ref="B1:N38"/>
  <sheetViews>
    <sheetView tabSelected="1" workbookViewId="0">
      <selection activeCell="D2" sqref="D2"/>
    </sheetView>
  </sheetViews>
  <sheetFormatPr defaultColWidth="8.81640625" defaultRowHeight="14.5" x14ac:dyDescent="0.35"/>
  <cols>
    <col min="2" max="2" width="30.1796875" customWidth="1"/>
    <col min="3" max="3" width="12.81640625" bestFit="1" customWidth="1"/>
    <col min="4" max="7" width="10.81640625" bestFit="1" customWidth="1"/>
    <col min="8" max="8" width="11.54296875" bestFit="1" customWidth="1"/>
    <col min="9" max="12" width="10.81640625" bestFit="1" customWidth="1"/>
    <col min="13" max="13" width="12.54296875" bestFit="1" customWidth="1"/>
  </cols>
  <sheetData>
    <row r="1" spans="2:12" x14ac:dyDescent="0.35">
      <c r="B1" t="s">
        <v>17</v>
      </c>
      <c r="C1" s="17">
        <v>0.02</v>
      </c>
    </row>
    <row r="2" spans="2:12" x14ac:dyDescent="0.35">
      <c r="B2" t="s">
        <v>14</v>
      </c>
      <c r="C2" s="7">
        <v>0</v>
      </c>
    </row>
    <row r="3" spans="2:12" x14ac:dyDescent="0.35">
      <c r="B3" t="s">
        <v>15</v>
      </c>
      <c r="C3" s="7">
        <v>0</v>
      </c>
    </row>
    <row r="4" spans="2:12" x14ac:dyDescent="0.35">
      <c r="B4" t="s">
        <v>22</v>
      </c>
      <c r="C4" s="10">
        <v>16</v>
      </c>
    </row>
    <row r="5" spans="2:12" x14ac:dyDescent="0.35">
      <c r="B5" t="s">
        <v>21</v>
      </c>
      <c r="C5" s="10">
        <f>6*1.18</f>
        <v>7.08</v>
      </c>
    </row>
    <row r="6" spans="2:12" x14ac:dyDescent="0.35">
      <c r="B6" t="s">
        <v>23</v>
      </c>
      <c r="C6" s="10">
        <v>1000</v>
      </c>
    </row>
    <row r="8" spans="2:12" x14ac:dyDescent="0.35">
      <c r="B8" s="3" t="s">
        <v>8</v>
      </c>
      <c r="C8" s="18"/>
      <c r="D8" s="18"/>
      <c r="E8" s="18"/>
      <c r="F8" s="18"/>
    </row>
    <row r="9" spans="2:12" x14ac:dyDescent="0.35">
      <c r="B9" s="1" t="s">
        <v>13</v>
      </c>
      <c r="C9" s="6">
        <v>0.27</v>
      </c>
      <c r="D9" s="6">
        <v>0.33</v>
      </c>
      <c r="E9" s="6">
        <v>0.21</v>
      </c>
      <c r="F9" s="6">
        <v>-0.08</v>
      </c>
      <c r="G9" s="6">
        <v>0.18</v>
      </c>
      <c r="H9" s="6">
        <v>0.18</v>
      </c>
      <c r="I9" s="6">
        <v>0.18</v>
      </c>
      <c r="J9" s="6">
        <v>0.18</v>
      </c>
      <c r="K9" s="6">
        <v>0.18</v>
      </c>
      <c r="L9" s="6">
        <v>0.18</v>
      </c>
    </row>
    <row r="10" spans="2:12" x14ac:dyDescent="0.35">
      <c r="B10" s="1" t="s">
        <v>1</v>
      </c>
      <c r="C10" s="1">
        <v>1</v>
      </c>
      <c r="D10" s="1">
        <f>+C10+1</f>
        <v>2</v>
      </c>
      <c r="E10" s="1">
        <f t="shared" ref="E10:L10" si="0">+D10+1</f>
        <v>3</v>
      </c>
      <c r="F10" s="1">
        <f t="shared" si="0"/>
        <v>4</v>
      </c>
      <c r="G10" s="1">
        <f t="shared" si="0"/>
        <v>5</v>
      </c>
      <c r="H10" s="1">
        <f t="shared" si="0"/>
        <v>6</v>
      </c>
      <c r="I10" s="1">
        <f t="shared" si="0"/>
        <v>7</v>
      </c>
      <c r="J10" s="1">
        <f t="shared" si="0"/>
        <v>8</v>
      </c>
      <c r="K10" s="1">
        <f t="shared" si="0"/>
        <v>9</v>
      </c>
      <c r="L10" s="1">
        <f t="shared" si="0"/>
        <v>10</v>
      </c>
    </row>
    <row r="11" spans="2:12" x14ac:dyDescent="0.35">
      <c r="B11" s="4" t="s">
        <v>2</v>
      </c>
      <c r="C11" s="19">
        <v>5000000</v>
      </c>
      <c r="D11" s="19">
        <f>+C20</f>
        <v>6222451.9000000004</v>
      </c>
      <c r="E11" s="19">
        <f t="shared" ref="E11:L11" si="1">+D20</f>
        <v>8123942.4567442527</v>
      </c>
      <c r="F11" s="19">
        <f t="shared" si="1"/>
        <v>9642163.0106197167</v>
      </c>
      <c r="G11" s="19">
        <f t="shared" si="1"/>
        <v>8676328.0550688375</v>
      </c>
      <c r="H11" s="19">
        <f t="shared" si="1"/>
        <v>10040267.741520369</v>
      </c>
      <c r="I11" s="19">
        <f t="shared" si="1"/>
        <v>11619026.673763506</v>
      </c>
      <c r="J11" s="19">
        <f t="shared" si="1"/>
        <v>13446438.685376719</v>
      </c>
      <c r="K11" s="19">
        <f t="shared" si="1"/>
        <v>15561666.40759996</v>
      </c>
      <c r="L11" s="19">
        <f t="shared" si="1"/>
        <v>18010040.550063856</v>
      </c>
    </row>
    <row r="12" spans="2:12" x14ac:dyDescent="0.35">
      <c r="B12" s="4" t="s">
        <v>3</v>
      </c>
      <c r="C12" s="8">
        <f>+C11*C9</f>
        <v>1350000</v>
      </c>
      <c r="D12" s="8">
        <f>+D11*D9</f>
        <v>2053409.1270000003</v>
      </c>
      <c r="E12" s="8">
        <f t="shared" ref="E12:L12" si="2">+E11*E9</f>
        <v>1706027.9159162929</v>
      </c>
      <c r="F12" s="8">
        <f t="shared" si="2"/>
        <v>-771373.0408495774</v>
      </c>
      <c r="G12" s="8">
        <f t="shared" si="2"/>
        <v>1561739.0499123908</v>
      </c>
      <c r="H12" s="8">
        <f t="shared" si="2"/>
        <v>1807248.1934736664</v>
      </c>
      <c r="I12" s="8">
        <f t="shared" si="2"/>
        <v>2091424.801277431</v>
      </c>
      <c r="J12" s="8">
        <f t="shared" si="2"/>
        <v>2420358.9633678091</v>
      </c>
      <c r="K12" s="8">
        <f t="shared" si="2"/>
        <v>2801099.9533679928</v>
      </c>
      <c r="L12" s="8">
        <f t="shared" si="2"/>
        <v>3241807.299011494</v>
      </c>
    </row>
    <row r="13" spans="2:12" x14ac:dyDescent="0.35">
      <c r="B13" s="4" t="s">
        <v>18</v>
      </c>
      <c r="C13" s="8">
        <v>1650</v>
      </c>
      <c r="D13" s="8">
        <v>0</v>
      </c>
      <c r="E13" s="8">
        <v>0</v>
      </c>
      <c r="F13" s="8">
        <v>0</v>
      </c>
      <c r="G13" s="8">
        <v>0</v>
      </c>
      <c r="H13" s="8">
        <v>0</v>
      </c>
      <c r="I13" s="8">
        <v>0</v>
      </c>
      <c r="J13" s="8">
        <v>0</v>
      </c>
      <c r="K13" s="8">
        <v>0</v>
      </c>
      <c r="L13" s="8">
        <v>0</v>
      </c>
    </row>
    <row r="14" spans="2:12" x14ac:dyDescent="0.35">
      <c r="B14" s="4" t="s">
        <v>20</v>
      </c>
      <c r="C14" s="8">
        <f>C11*C4/10000</f>
        <v>8000</v>
      </c>
      <c r="D14" s="8">
        <f>C14/5</f>
        <v>1600</v>
      </c>
      <c r="E14" s="8">
        <f>D14</f>
        <v>1600</v>
      </c>
      <c r="F14" s="8">
        <f t="shared" ref="F14:L14" si="3">E14</f>
        <v>1600</v>
      </c>
      <c r="G14" s="8">
        <f t="shared" si="3"/>
        <v>1600</v>
      </c>
      <c r="H14" s="8">
        <f t="shared" si="3"/>
        <v>1600</v>
      </c>
      <c r="I14" s="8">
        <f t="shared" si="3"/>
        <v>1600</v>
      </c>
      <c r="J14" s="8">
        <f t="shared" si="3"/>
        <v>1600</v>
      </c>
      <c r="K14" s="8">
        <f t="shared" si="3"/>
        <v>1600</v>
      </c>
      <c r="L14" s="8">
        <f t="shared" si="3"/>
        <v>1600</v>
      </c>
    </row>
    <row r="15" spans="2:12" x14ac:dyDescent="0.35">
      <c r="B15" s="4" t="s">
        <v>24</v>
      </c>
      <c r="C15" s="8">
        <f>C11*$C$5/10000</f>
        <v>3540</v>
      </c>
      <c r="D15" s="8">
        <f t="shared" ref="D15:L15" si="4">D11*$C$5/10000</f>
        <v>4405.4959452000003</v>
      </c>
      <c r="E15" s="8">
        <f t="shared" si="4"/>
        <v>5751.7512593749307</v>
      </c>
      <c r="F15" s="8">
        <f t="shared" si="4"/>
        <v>6826.6514115187601</v>
      </c>
      <c r="G15" s="8">
        <f t="shared" si="4"/>
        <v>6142.8402629887369</v>
      </c>
      <c r="H15" s="8">
        <f t="shared" si="4"/>
        <v>7108.5095609964219</v>
      </c>
      <c r="I15" s="8">
        <f t="shared" si="4"/>
        <v>8226.2708850245617</v>
      </c>
      <c r="J15" s="8">
        <f t="shared" si="4"/>
        <v>9520.0785892467175</v>
      </c>
      <c r="K15" s="8">
        <f t="shared" si="4"/>
        <v>11017.659816580772</v>
      </c>
      <c r="L15" s="8">
        <f t="shared" si="4"/>
        <v>12751.10870944521</v>
      </c>
    </row>
    <row r="16" spans="2:12" x14ac:dyDescent="0.35">
      <c r="B16" s="4" t="s">
        <v>26</v>
      </c>
      <c r="C16" s="8">
        <f>C6</f>
        <v>1000</v>
      </c>
      <c r="D16" s="8">
        <f>C16</f>
        <v>1000</v>
      </c>
      <c r="E16" s="8">
        <f t="shared" ref="E16:L16" si="5">D16</f>
        <v>1000</v>
      </c>
      <c r="F16" s="8">
        <f t="shared" si="5"/>
        <v>1000</v>
      </c>
      <c r="G16" s="8">
        <f t="shared" si="5"/>
        <v>1000</v>
      </c>
      <c r="H16" s="8">
        <f t="shared" si="5"/>
        <v>1000</v>
      </c>
      <c r="I16" s="8">
        <f t="shared" si="5"/>
        <v>1000</v>
      </c>
      <c r="J16" s="8">
        <f t="shared" si="5"/>
        <v>1000</v>
      </c>
      <c r="K16" s="8">
        <f t="shared" si="5"/>
        <v>1000</v>
      </c>
      <c r="L16" s="8">
        <f t="shared" si="5"/>
        <v>1000</v>
      </c>
    </row>
    <row r="17" spans="2:14" s="3" customFormat="1" x14ac:dyDescent="0.35">
      <c r="B17" s="1" t="s">
        <v>4</v>
      </c>
      <c r="C17" s="9">
        <f>SUM(C11:C12)-SUM(C13:C16)</f>
        <v>6335810</v>
      </c>
      <c r="D17" s="9">
        <f t="shared" ref="D17:L17" si="6">SUM(D11:D12)-SUM(D13:D16)</f>
        <v>8268855.5310548004</v>
      </c>
      <c r="E17" s="9">
        <f t="shared" si="6"/>
        <v>9821618.6214011703</v>
      </c>
      <c r="F17" s="9">
        <f t="shared" si="6"/>
        <v>8861363.3183586206</v>
      </c>
      <c r="G17" s="9">
        <f t="shared" si="6"/>
        <v>10229324.26471824</v>
      </c>
      <c r="H17" s="9">
        <f t="shared" si="6"/>
        <v>11837807.42543304</v>
      </c>
      <c r="I17" s="9">
        <f t="shared" si="6"/>
        <v>13699625.204155913</v>
      </c>
      <c r="J17" s="9">
        <f t="shared" si="6"/>
        <v>15854677.57015528</v>
      </c>
      <c r="K17" s="9">
        <f t="shared" si="6"/>
        <v>18349148.701151371</v>
      </c>
      <c r="L17" s="9">
        <f t="shared" si="6"/>
        <v>21236496.740365908</v>
      </c>
    </row>
    <row r="18" spans="2:14" x14ac:dyDescent="0.35">
      <c r="B18" s="4"/>
      <c r="C18" s="8"/>
      <c r="D18" s="8"/>
      <c r="E18" s="8"/>
      <c r="F18" s="8"/>
      <c r="G18" s="8"/>
      <c r="H18" s="8"/>
      <c r="I18" s="8"/>
      <c r="J18" s="8"/>
      <c r="K18" s="8"/>
      <c r="L18" s="8"/>
    </row>
    <row r="19" spans="2:14" x14ac:dyDescent="0.35">
      <c r="B19" s="1" t="s">
        <v>6</v>
      </c>
      <c r="C19" s="9">
        <f>AVERAGE(C11,SUM(C11:C12)-SUM(C13:C16))*$C$1</f>
        <v>113358.1</v>
      </c>
      <c r="D19" s="9">
        <f t="shared" ref="D19:L19" si="7">AVERAGE(D11,SUM(D11:D12)-SUM(D13:D16))*$C$1</f>
        <v>144913.07431054802</v>
      </c>
      <c r="E19" s="9">
        <f t="shared" si="7"/>
        <v>179455.61078145422</v>
      </c>
      <c r="F19" s="9">
        <f t="shared" si="7"/>
        <v>185035.26328978338</v>
      </c>
      <c r="G19" s="9">
        <f t="shared" si="7"/>
        <v>189056.52319787079</v>
      </c>
      <c r="H19" s="9">
        <f t="shared" si="7"/>
        <v>218780.75166953407</v>
      </c>
      <c r="I19" s="9">
        <f t="shared" si="7"/>
        <v>253186.51877919422</v>
      </c>
      <c r="J19" s="9">
        <f t="shared" si="7"/>
        <v>293011.16255531996</v>
      </c>
      <c r="K19" s="9">
        <f t="shared" si="7"/>
        <v>339108.15108751325</v>
      </c>
      <c r="L19" s="9">
        <f t="shared" si="7"/>
        <v>392465.37290429766</v>
      </c>
    </row>
    <row r="20" spans="2:14" x14ac:dyDescent="0.35">
      <c r="B20" s="4" t="s">
        <v>7</v>
      </c>
      <c r="C20" s="8">
        <f t="shared" ref="C20:L20" si="8">+C17-C19</f>
        <v>6222451.9000000004</v>
      </c>
      <c r="D20" s="8">
        <f t="shared" si="8"/>
        <v>8123942.4567442527</v>
      </c>
      <c r="E20" s="8">
        <f t="shared" si="8"/>
        <v>9642163.0106197167</v>
      </c>
      <c r="F20" s="8">
        <f t="shared" si="8"/>
        <v>8676328.0550688375</v>
      </c>
      <c r="G20" s="8">
        <f t="shared" si="8"/>
        <v>10040267.741520369</v>
      </c>
      <c r="H20" s="8">
        <f t="shared" si="8"/>
        <v>11619026.673763506</v>
      </c>
      <c r="I20" s="8">
        <f t="shared" si="8"/>
        <v>13446438.685376719</v>
      </c>
      <c r="J20" s="8">
        <f t="shared" si="8"/>
        <v>15561666.40759996</v>
      </c>
      <c r="K20" s="8">
        <f t="shared" si="8"/>
        <v>18010040.550063856</v>
      </c>
      <c r="L20" s="8">
        <f t="shared" si="8"/>
        <v>20844031.367461611</v>
      </c>
      <c r="N20" s="22"/>
    </row>
    <row r="21" spans="2:14" s="3" customFormat="1" x14ac:dyDescent="0.35">
      <c r="B21" s="1" t="s">
        <v>32</v>
      </c>
      <c r="C21" s="5">
        <f t="shared" ref="C21:L21" si="9">+C19/AVERAGE(C17,C11)</f>
        <v>0.02</v>
      </c>
      <c r="D21" s="5">
        <f t="shared" si="9"/>
        <v>0.02</v>
      </c>
      <c r="E21" s="5">
        <f t="shared" si="9"/>
        <v>0.02</v>
      </c>
      <c r="F21" s="5">
        <f t="shared" si="9"/>
        <v>0.02</v>
      </c>
      <c r="G21" s="5">
        <f t="shared" si="9"/>
        <v>0.02</v>
      </c>
      <c r="H21" s="5">
        <f t="shared" si="9"/>
        <v>0.02</v>
      </c>
      <c r="I21" s="5">
        <f t="shared" si="9"/>
        <v>0.02</v>
      </c>
      <c r="J21" s="5">
        <f t="shared" si="9"/>
        <v>0.02</v>
      </c>
      <c r="K21" s="5">
        <f t="shared" si="9"/>
        <v>0.02</v>
      </c>
      <c r="L21" s="5">
        <f t="shared" si="9"/>
        <v>0.02</v>
      </c>
    </row>
    <row r="23" spans="2:14" x14ac:dyDescent="0.35">
      <c r="B23" t="s">
        <v>19</v>
      </c>
    </row>
    <row r="24" spans="2:14" x14ac:dyDescent="0.35">
      <c r="B24" t="s">
        <v>25</v>
      </c>
    </row>
    <row r="25" spans="2:14" x14ac:dyDescent="0.35">
      <c r="B25" t="s">
        <v>31</v>
      </c>
    </row>
    <row r="28" spans="2:14" x14ac:dyDescent="0.35">
      <c r="B28" t="s">
        <v>39</v>
      </c>
    </row>
    <row r="29" spans="2:14" x14ac:dyDescent="0.35">
      <c r="B29" s="1" t="s">
        <v>1</v>
      </c>
      <c r="C29" s="1">
        <v>1</v>
      </c>
      <c r="D29" s="1">
        <f>+C29+1</f>
        <v>2</v>
      </c>
      <c r="E29" s="1">
        <f t="shared" ref="E29" si="10">+D29+1</f>
        <v>3</v>
      </c>
      <c r="F29" s="1">
        <f t="shared" ref="F29" si="11">+E29+1</f>
        <v>4</v>
      </c>
      <c r="G29" s="1">
        <f t="shared" ref="G29" si="12">+F29+1</f>
        <v>5</v>
      </c>
      <c r="H29" s="1">
        <f t="shared" ref="H29" si="13">+G29+1</f>
        <v>6</v>
      </c>
      <c r="I29" s="1">
        <f t="shared" ref="I29" si="14">+H29+1</f>
        <v>7</v>
      </c>
      <c r="J29" s="1">
        <f t="shared" ref="J29" si="15">+I29+1</f>
        <v>8</v>
      </c>
      <c r="K29" s="1">
        <f t="shared" ref="K29" si="16">+J29+1</f>
        <v>9</v>
      </c>
      <c r="L29" s="1">
        <f t="shared" ref="L29" si="17">+K29+1</f>
        <v>10</v>
      </c>
      <c r="M29" s="1" t="s">
        <v>37</v>
      </c>
    </row>
    <row r="30" spans="2:14" x14ac:dyDescent="0.35">
      <c r="B30" s="4" t="s">
        <v>34</v>
      </c>
      <c r="C30" s="4">
        <f>C19</f>
        <v>113358.1</v>
      </c>
      <c r="D30" s="4">
        <f t="shared" ref="D30:L30" si="18">D19</f>
        <v>144913.07431054802</v>
      </c>
      <c r="E30" s="4">
        <f t="shared" si="18"/>
        <v>179455.61078145422</v>
      </c>
      <c r="F30" s="4">
        <f t="shared" si="18"/>
        <v>185035.26328978338</v>
      </c>
      <c r="G30" s="4">
        <f t="shared" si="18"/>
        <v>189056.52319787079</v>
      </c>
      <c r="H30" s="4">
        <f t="shared" si="18"/>
        <v>218780.75166953407</v>
      </c>
      <c r="I30" s="4">
        <f t="shared" si="18"/>
        <v>253186.51877919422</v>
      </c>
      <c r="J30" s="4">
        <f t="shared" si="18"/>
        <v>293011.16255531996</v>
      </c>
      <c r="K30" s="4">
        <f t="shared" si="18"/>
        <v>339108.15108751325</v>
      </c>
      <c r="L30" s="4">
        <f t="shared" si="18"/>
        <v>392465.37290429766</v>
      </c>
      <c r="M30" s="20">
        <f>SUM(C30:L30)</f>
        <v>2308370.5285755154</v>
      </c>
      <c r="N30" s="21"/>
    </row>
    <row r="31" spans="2:14" x14ac:dyDescent="0.35">
      <c r="B31" s="4" t="s">
        <v>35</v>
      </c>
      <c r="C31" s="4">
        <f>'Pure variable Fee'!C26</f>
        <v>187162</v>
      </c>
      <c r="D31" s="4">
        <f>'Pure variable Fee'!D26</f>
        <v>306041.75144319981</v>
      </c>
      <c r="E31" s="4">
        <f>'Pure variable Fee'!E26</f>
        <v>202848.73550073133</v>
      </c>
      <c r="F31" s="4">
        <f>'Pure variable Fee'!F26</f>
        <v>0</v>
      </c>
      <c r="G31" s="4">
        <f>'Pure variable Fee'!G26</f>
        <v>6522.595210072026</v>
      </c>
      <c r="H31" s="4">
        <f>'Pure variable Fee'!H26</f>
        <v>199569.08765904792</v>
      </c>
      <c r="I31" s="4">
        <f>'Pure variable Fee'!I26</f>
        <v>231428.70575324559</v>
      </c>
      <c r="J31" s="4">
        <f>'Pure variable Fee'!J26</f>
        <v>268367.81745482649</v>
      </c>
      <c r="K31" s="4">
        <f>'Pure variable Fee'!K26</f>
        <v>311196.26471579151</v>
      </c>
      <c r="L31" s="4">
        <f>'Pure variable Fee'!L26</f>
        <v>360853.0055059843</v>
      </c>
      <c r="M31" s="20">
        <f t="shared" ref="M31" si="19">SUM(C31:L31)</f>
        <v>2073989.9632428987</v>
      </c>
    </row>
    <row r="32" spans="2:14" x14ac:dyDescent="0.35">
      <c r="B32" s="4" t="s">
        <v>36</v>
      </c>
      <c r="C32" s="25">
        <f>'Hybrid Fee'!C28</f>
        <v>158548.69249999989</v>
      </c>
      <c r="D32" s="25">
        <f>'Hybrid Fee'!D28</f>
        <v>254678.39875363794</v>
      </c>
      <c r="E32" s="25">
        <f>'Hybrid Fee'!E28</f>
        <v>180819.65342299113</v>
      </c>
      <c r="F32" s="25">
        <f>'Hybrid Fee'!F28</f>
        <v>90533.598592071838</v>
      </c>
      <c r="G32" s="25">
        <f>'Hybrid Fee'!G28</f>
        <v>93487.011152921026</v>
      </c>
      <c r="H32" s="25">
        <f>'Hybrid Fee'!H28</f>
        <v>181577.08963273777</v>
      </c>
      <c r="I32" s="25">
        <f>'Hybrid Fee'!I28</f>
        <v>210860.43349741038</v>
      </c>
      <c r="J32" s="25">
        <f>'Hybrid Fee'!J28</f>
        <v>244862.38437927963</v>
      </c>
      <c r="K32" s="25">
        <f>'Hybrid Fee'!K28</f>
        <v>284343.28072485793</v>
      </c>
      <c r="L32" s="25">
        <f>'Hybrid Fee'!L28</f>
        <v>330185.97903548344</v>
      </c>
      <c r="M32" s="25">
        <f>'Hybrid Fee'!M28</f>
        <v>0</v>
      </c>
    </row>
    <row r="35" spans="2:8" hidden="1" x14ac:dyDescent="0.35">
      <c r="B35" s="1"/>
      <c r="C35" s="1"/>
      <c r="D35" s="1"/>
      <c r="E35" s="1"/>
      <c r="F35" s="1"/>
      <c r="G35" s="1"/>
      <c r="H35" s="1"/>
    </row>
    <row r="36" spans="2:8" hidden="1" x14ac:dyDescent="0.35">
      <c r="B36" s="4"/>
      <c r="C36" s="4"/>
      <c r="D36" s="4"/>
      <c r="E36" s="4"/>
      <c r="F36" s="4"/>
      <c r="G36" s="4"/>
      <c r="H36" s="20"/>
    </row>
    <row r="37" spans="2:8" hidden="1" x14ac:dyDescent="0.35">
      <c r="B37" s="4"/>
      <c r="C37" s="4"/>
      <c r="D37" s="4"/>
      <c r="E37" s="4"/>
      <c r="F37" s="4"/>
      <c r="G37" s="4"/>
      <c r="H37" s="20"/>
    </row>
    <row r="38" spans="2:8" hidden="1" x14ac:dyDescent="0.35">
      <c r="B38" s="4"/>
      <c r="C38" s="4"/>
      <c r="D38" s="4"/>
      <c r="E38" s="4"/>
      <c r="F38" s="4"/>
      <c r="G38" s="4"/>
      <c r="H38" s="20"/>
    </row>
  </sheetData>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AA43D-B729-4803-822D-3722B0F17C36}">
  <dimension ref="B1:BG42"/>
  <sheetViews>
    <sheetView showGridLines="0" workbookViewId="0">
      <selection activeCell="M21" sqref="M21:BG23"/>
    </sheetView>
  </sheetViews>
  <sheetFormatPr defaultRowHeight="14.5" x14ac:dyDescent="0.35"/>
  <cols>
    <col min="2" max="2" width="31.54296875" customWidth="1"/>
    <col min="3" max="3" width="12.6328125" bestFit="1" customWidth="1"/>
    <col min="4" max="12" width="10.6328125" bestFit="1" customWidth="1"/>
  </cols>
  <sheetData>
    <row r="1" spans="2:12" x14ac:dyDescent="0.35">
      <c r="B1" t="s">
        <v>17</v>
      </c>
      <c r="C1" s="7">
        <v>0</v>
      </c>
    </row>
    <row r="2" spans="2:12" x14ac:dyDescent="0.35">
      <c r="B2" t="s">
        <v>14</v>
      </c>
      <c r="C2" s="7">
        <v>0.2</v>
      </c>
    </row>
    <row r="3" spans="2:12" x14ac:dyDescent="0.35">
      <c r="B3" t="s">
        <v>15</v>
      </c>
      <c r="C3" s="7">
        <v>0.08</v>
      </c>
    </row>
    <row r="4" spans="2:12" x14ac:dyDescent="0.35">
      <c r="B4" t="s">
        <v>22</v>
      </c>
      <c r="C4" s="10">
        <v>16</v>
      </c>
    </row>
    <row r="5" spans="2:12" x14ac:dyDescent="0.35">
      <c r="B5" t="s">
        <v>21</v>
      </c>
      <c r="C5" s="10">
        <f>6*1.18</f>
        <v>7.08</v>
      </c>
    </row>
    <row r="6" spans="2:12" x14ac:dyDescent="0.35">
      <c r="B6" t="s">
        <v>23</v>
      </c>
      <c r="C6" s="10">
        <v>1000</v>
      </c>
    </row>
    <row r="7" spans="2:12" x14ac:dyDescent="0.35">
      <c r="C7" s="11"/>
    </row>
    <row r="8" spans="2:12" x14ac:dyDescent="0.35">
      <c r="B8" s="3" t="s">
        <v>8</v>
      </c>
    </row>
    <row r="9" spans="2:12" x14ac:dyDescent="0.35">
      <c r="B9" s="1" t="s">
        <v>13</v>
      </c>
      <c r="C9" s="6">
        <f>'Pure Fixed Fees'!C9</f>
        <v>0.27</v>
      </c>
      <c r="D9" s="6">
        <f>'Pure Fixed Fees'!D9</f>
        <v>0.33</v>
      </c>
      <c r="E9" s="6">
        <f>'Pure Fixed Fees'!E9</f>
        <v>0.21</v>
      </c>
      <c r="F9" s="6">
        <f>'Pure Fixed Fees'!F9</f>
        <v>-0.08</v>
      </c>
      <c r="G9" s="6">
        <f>'Pure Fixed Fees'!G9</f>
        <v>0.18</v>
      </c>
      <c r="H9" s="6">
        <f>'Pure Fixed Fees'!H9</f>
        <v>0.18</v>
      </c>
      <c r="I9" s="6">
        <f>'Pure Fixed Fees'!I9</f>
        <v>0.18</v>
      </c>
      <c r="J9" s="6">
        <f>'Pure Fixed Fees'!J9</f>
        <v>0.18</v>
      </c>
      <c r="K9" s="6">
        <f>'Pure Fixed Fees'!K9</f>
        <v>0.18</v>
      </c>
      <c r="L9" s="6">
        <f>'Pure Fixed Fees'!L9</f>
        <v>0.18</v>
      </c>
    </row>
    <row r="10" spans="2:12" x14ac:dyDescent="0.35">
      <c r="B10" s="1" t="s">
        <v>1</v>
      </c>
      <c r="C10" s="1">
        <v>1</v>
      </c>
      <c r="D10" s="1">
        <f>+C10+1</f>
        <v>2</v>
      </c>
      <c r="E10" s="1">
        <f t="shared" ref="E10:L10" si="0">+D10+1</f>
        <v>3</v>
      </c>
      <c r="F10" s="1">
        <f t="shared" si="0"/>
        <v>4</v>
      </c>
      <c r="G10" s="1">
        <f t="shared" si="0"/>
        <v>5</v>
      </c>
      <c r="H10" s="1">
        <f t="shared" si="0"/>
        <v>6</v>
      </c>
      <c r="I10" s="1">
        <f t="shared" si="0"/>
        <v>7</v>
      </c>
      <c r="J10" s="1">
        <f t="shared" si="0"/>
        <v>8</v>
      </c>
      <c r="K10" s="1">
        <f t="shared" si="0"/>
        <v>9</v>
      </c>
      <c r="L10" s="1">
        <f t="shared" si="0"/>
        <v>10</v>
      </c>
    </row>
    <row r="11" spans="2:12" x14ac:dyDescent="0.35">
      <c r="B11" s="4" t="s">
        <v>2</v>
      </c>
      <c r="C11" s="19">
        <v>5000000</v>
      </c>
      <c r="D11" s="8">
        <f>+C27</f>
        <v>6148648</v>
      </c>
      <c r="E11" s="8">
        <f>+D27</f>
        <v>7864706.8457728</v>
      </c>
      <c r="F11" s="8">
        <f t="shared" ref="F11:L11" si="1">+E27</f>
        <v>9305278.3354375511</v>
      </c>
      <c r="G11" s="8">
        <f t="shared" si="1"/>
        <v>8551667.9315410573</v>
      </c>
      <c r="H11" s="8">
        <f t="shared" si="1"/>
        <v>10075790.983112844</v>
      </c>
      <c r="I11" s="8">
        <f t="shared" si="1"/>
        <v>11680130.612398064</v>
      </c>
      <c r="J11" s="8">
        <f t="shared" si="1"/>
        <v>13540255.884402892</v>
      </c>
      <c r="K11" s="8">
        <f t="shared" si="1"/>
        <v>15696947.62497443</v>
      </c>
      <c r="L11" s="8">
        <f t="shared" si="1"/>
        <v>18197488.493835554</v>
      </c>
    </row>
    <row r="12" spans="2:12" x14ac:dyDescent="0.35">
      <c r="B12" s="4" t="s">
        <v>3</v>
      </c>
      <c r="C12" s="8">
        <f>+C11*C9</f>
        <v>1350000</v>
      </c>
      <c r="D12" s="8">
        <f>+D11*D9</f>
        <v>2029053.84</v>
      </c>
      <c r="E12" s="8">
        <f t="shared" ref="E12:L12" si="2">+E11*E9</f>
        <v>1651588.4376122879</v>
      </c>
      <c r="F12" s="8">
        <f t="shared" si="2"/>
        <v>-744422.26683500409</v>
      </c>
      <c r="G12" s="8">
        <f t="shared" si="2"/>
        <v>1539300.2276773902</v>
      </c>
      <c r="H12" s="8">
        <f t="shared" si="2"/>
        <v>1813642.3769603118</v>
      </c>
      <c r="I12" s="8">
        <f t="shared" si="2"/>
        <v>2102423.5102316514</v>
      </c>
      <c r="J12" s="8">
        <f t="shared" si="2"/>
        <v>2437246.0591925206</v>
      </c>
      <c r="K12" s="8">
        <f t="shared" si="2"/>
        <v>2825450.5724953972</v>
      </c>
      <c r="L12" s="8">
        <f t="shared" si="2"/>
        <v>3275547.9288903996</v>
      </c>
    </row>
    <row r="13" spans="2:12" x14ac:dyDescent="0.35">
      <c r="B13" s="4" t="s">
        <v>18</v>
      </c>
      <c r="C13" s="8">
        <v>1650</v>
      </c>
      <c r="D13" s="8">
        <v>0</v>
      </c>
      <c r="E13" s="8">
        <v>0</v>
      </c>
      <c r="F13" s="8">
        <v>0</v>
      </c>
      <c r="G13" s="8">
        <v>0</v>
      </c>
      <c r="H13" s="8">
        <v>0</v>
      </c>
      <c r="I13" s="8">
        <v>0</v>
      </c>
      <c r="J13" s="8">
        <v>0</v>
      </c>
      <c r="K13" s="8">
        <v>0</v>
      </c>
      <c r="L13" s="8">
        <v>0</v>
      </c>
    </row>
    <row r="14" spans="2:12" x14ac:dyDescent="0.35">
      <c r="B14" s="4" t="s">
        <v>20</v>
      </c>
      <c r="C14" s="8">
        <f>C11*C4/10000</f>
        <v>8000</v>
      </c>
      <c r="D14" s="8">
        <f>C14/5</f>
        <v>1600</v>
      </c>
      <c r="E14" s="8">
        <f>D14</f>
        <v>1600</v>
      </c>
      <c r="F14" s="8">
        <f t="shared" ref="F14:L14" si="3">E14</f>
        <v>1600</v>
      </c>
      <c r="G14" s="8">
        <f t="shared" si="3"/>
        <v>1600</v>
      </c>
      <c r="H14" s="8">
        <f t="shared" si="3"/>
        <v>1600</v>
      </c>
      <c r="I14" s="8">
        <f t="shared" si="3"/>
        <v>1600</v>
      </c>
      <c r="J14" s="8">
        <f t="shared" si="3"/>
        <v>1600</v>
      </c>
      <c r="K14" s="8">
        <f t="shared" si="3"/>
        <v>1600</v>
      </c>
      <c r="L14" s="8">
        <f t="shared" si="3"/>
        <v>1600</v>
      </c>
    </row>
    <row r="15" spans="2:12" x14ac:dyDescent="0.35">
      <c r="B15" s="4" t="s">
        <v>24</v>
      </c>
      <c r="C15" s="8">
        <f>C11*$C$5/10000</f>
        <v>3540</v>
      </c>
      <c r="D15" s="8">
        <f t="shared" ref="D15" si="4">D11*$C$5/10000</f>
        <v>4353.242784</v>
      </c>
      <c r="E15" s="8">
        <f t="shared" ref="E15:L15" si="5">E11*$C$5/10000</f>
        <v>5568.2124468071424</v>
      </c>
      <c r="F15" s="8">
        <f t="shared" si="5"/>
        <v>6588.137061489786</v>
      </c>
      <c r="G15" s="8">
        <f t="shared" si="5"/>
        <v>6054.5808955310686</v>
      </c>
      <c r="H15" s="8">
        <f t="shared" si="5"/>
        <v>7133.6600160438938</v>
      </c>
      <c r="I15" s="8">
        <f t="shared" si="5"/>
        <v>8269.5324735778286</v>
      </c>
      <c r="J15" s="8">
        <f t="shared" si="5"/>
        <v>9586.501166157248</v>
      </c>
      <c r="K15" s="8">
        <f t="shared" si="5"/>
        <v>11113.438918481897</v>
      </c>
      <c r="L15" s="8">
        <f t="shared" si="5"/>
        <v>12883.821853635573</v>
      </c>
    </row>
    <row r="16" spans="2:12" x14ac:dyDescent="0.35">
      <c r="B16" s="4" t="s">
        <v>26</v>
      </c>
      <c r="C16" s="8">
        <f>C6</f>
        <v>1000</v>
      </c>
      <c r="D16" s="8">
        <f>C16</f>
        <v>1000</v>
      </c>
      <c r="E16" s="8">
        <f t="shared" ref="E16:L16" si="6">D16</f>
        <v>1000</v>
      </c>
      <c r="F16" s="8">
        <f t="shared" si="6"/>
        <v>1000</v>
      </c>
      <c r="G16" s="8">
        <f t="shared" si="6"/>
        <v>1000</v>
      </c>
      <c r="H16" s="8">
        <f t="shared" si="6"/>
        <v>1000</v>
      </c>
      <c r="I16" s="8">
        <f t="shared" si="6"/>
        <v>1000</v>
      </c>
      <c r="J16" s="8">
        <f t="shared" si="6"/>
        <v>1000</v>
      </c>
      <c r="K16" s="8">
        <f t="shared" si="6"/>
        <v>1000</v>
      </c>
      <c r="L16" s="8">
        <f t="shared" si="6"/>
        <v>1000</v>
      </c>
    </row>
    <row r="17" spans="2:59" s="3" customFormat="1" x14ac:dyDescent="0.35">
      <c r="B17" s="1" t="s">
        <v>4</v>
      </c>
      <c r="C17" s="9">
        <f>SUM(C11:C12)-SUM(C13:C16)</f>
        <v>6335810</v>
      </c>
      <c r="D17" s="9">
        <f t="shared" ref="D17:L17" si="7">SUM(D11:D12)-SUM(D13:D16)</f>
        <v>8170748.5972159998</v>
      </c>
      <c r="E17" s="9">
        <f t="shared" si="7"/>
        <v>9508127.0709382817</v>
      </c>
      <c r="F17" s="9">
        <f t="shared" si="7"/>
        <v>8551667.9315410573</v>
      </c>
      <c r="G17" s="9">
        <f t="shared" si="7"/>
        <v>10082313.578322915</v>
      </c>
      <c r="H17" s="9">
        <f t="shared" si="7"/>
        <v>11879699.700057112</v>
      </c>
      <c r="I17" s="9">
        <f t="shared" si="7"/>
        <v>13771684.590156138</v>
      </c>
      <c r="J17" s="9">
        <f t="shared" si="7"/>
        <v>15965315.442429256</v>
      </c>
      <c r="K17" s="9">
        <f t="shared" si="7"/>
        <v>18508684.758551344</v>
      </c>
      <c r="L17" s="9">
        <f t="shared" si="7"/>
        <v>21457552.600872319</v>
      </c>
    </row>
    <row r="18" spans="2:59" s="3" customFormat="1" x14ac:dyDescent="0.35">
      <c r="B18" s="1"/>
      <c r="C18" s="9"/>
      <c r="D18" s="9"/>
      <c r="E18" s="9"/>
      <c r="F18" s="9"/>
      <c r="G18" s="9"/>
      <c r="H18" s="9"/>
      <c r="I18" s="9"/>
      <c r="J18" s="9"/>
      <c r="K18" s="9"/>
      <c r="L18" s="9"/>
    </row>
    <row r="19" spans="2:59" s="3" customFormat="1" x14ac:dyDescent="0.35">
      <c r="B19" s="1" t="s">
        <v>16</v>
      </c>
      <c r="C19" s="9">
        <f>C11</f>
        <v>5000000</v>
      </c>
      <c r="D19" s="9">
        <f>IF(C26&lt;=0,C19,MAX(C19,C17))</f>
        <v>6335810</v>
      </c>
      <c r="E19" s="9">
        <f t="shared" ref="E19:L19" si="8">IF(D26&lt;=0,D19,MAX(D19,D17))</f>
        <v>8170748.5972159998</v>
      </c>
      <c r="F19" s="9">
        <f t="shared" si="8"/>
        <v>9508127.0709382817</v>
      </c>
      <c r="G19" s="9">
        <f t="shared" si="8"/>
        <v>9508127.0709382817</v>
      </c>
      <c r="H19" s="9">
        <f t="shared" si="8"/>
        <v>10082313.578322915</v>
      </c>
      <c r="I19" s="9">
        <f t="shared" si="8"/>
        <v>11879699.700057112</v>
      </c>
      <c r="J19" s="9">
        <f t="shared" si="8"/>
        <v>13771684.590156138</v>
      </c>
      <c r="K19" s="9">
        <f t="shared" si="8"/>
        <v>15965315.442429256</v>
      </c>
      <c r="L19" s="9">
        <f t="shared" si="8"/>
        <v>18508684.758551344</v>
      </c>
    </row>
    <row r="20" spans="2:59" s="3" customFormat="1" x14ac:dyDescent="0.35">
      <c r="B20" s="1"/>
      <c r="C20" s="9"/>
      <c r="D20" s="9"/>
      <c r="E20" s="9"/>
      <c r="F20" s="9"/>
      <c r="G20" s="9"/>
      <c r="H20" s="9"/>
      <c r="I20" s="9"/>
      <c r="J20" s="9"/>
      <c r="K20" s="9"/>
      <c r="L20" s="9"/>
    </row>
    <row r="21" spans="2:59" s="13" customFormat="1" x14ac:dyDescent="0.35">
      <c r="B21" s="15" t="s">
        <v>29</v>
      </c>
      <c r="C21" s="16">
        <f>C11</f>
        <v>5000000</v>
      </c>
      <c r="D21" s="16">
        <f>IF(C26&lt;=0,C21,MAX(C21,C27))</f>
        <v>6148648</v>
      </c>
      <c r="E21" s="16">
        <f t="shared" ref="E21:L21" si="9">IF(D26&lt;=0,D21,MAX(D21,D27))</f>
        <v>7864706.8457728</v>
      </c>
      <c r="F21" s="16">
        <f t="shared" si="9"/>
        <v>9305278.3354375511</v>
      </c>
      <c r="G21" s="16">
        <f t="shared" si="9"/>
        <v>9305278.3354375511</v>
      </c>
      <c r="H21" s="16">
        <f t="shared" si="9"/>
        <v>10075790.983112844</v>
      </c>
      <c r="I21" s="16">
        <f t="shared" si="9"/>
        <v>11680130.612398064</v>
      </c>
      <c r="J21" s="16">
        <f t="shared" si="9"/>
        <v>13540255.884402892</v>
      </c>
      <c r="K21" s="16">
        <f t="shared" si="9"/>
        <v>15696947.62497443</v>
      </c>
      <c r="L21" s="16">
        <f t="shared" si="9"/>
        <v>18197488.493835554</v>
      </c>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row>
    <row r="22" spans="2:59" s="13" customFormat="1" x14ac:dyDescent="0.35">
      <c r="B22" s="15" t="s">
        <v>28</v>
      </c>
      <c r="C22" s="16">
        <f>C11</f>
        <v>5000000</v>
      </c>
      <c r="D22" s="16">
        <f t="shared" ref="D22:L22" si="10">D11</f>
        <v>6148648</v>
      </c>
      <c r="E22" s="16">
        <f t="shared" si="10"/>
        <v>7864706.8457728</v>
      </c>
      <c r="F22" s="16">
        <f t="shared" si="10"/>
        <v>9305278.3354375511</v>
      </c>
      <c r="G22" s="16">
        <f t="shared" si="10"/>
        <v>8551667.9315410573</v>
      </c>
      <c r="H22" s="16">
        <f t="shared" si="10"/>
        <v>10075790.983112844</v>
      </c>
      <c r="I22" s="16">
        <f t="shared" si="10"/>
        <v>11680130.612398064</v>
      </c>
      <c r="J22" s="16">
        <f t="shared" si="10"/>
        <v>13540255.884402892</v>
      </c>
      <c r="K22" s="16">
        <f t="shared" si="10"/>
        <v>15696947.62497443</v>
      </c>
      <c r="L22" s="16">
        <f t="shared" si="10"/>
        <v>18197488.493835554</v>
      </c>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row>
    <row r="23" spans="2:59" s="13" customFormat="1" ht="29" x14ac:dyDescent="0.35">
      <c r="B23" s="14" t="s">
        <v>27</v>
      </c>
      <c r="C23" s="12">
        <f>MAX(C21,C22)</f>
        <v>5000000</v>
      </c>
      <c r="D23" s="12">
        <f t="shared" ref="D23:L23" si="11">MAX(D21,D22)</f>
        <v>6148648</v>
      </c>
      <c r="E23" s="12">
        <f t="shared" si="11"/>
        <v>7864706.8457728</v>
      </c>
      <c r="F23" s="12">
        <f t="shared" si="11"/>
        <v>9305278.3354375511</v>
      </c>
      <c r="G23" s="12">
        <f t="shared" si="11"/>
        <v>9305278.3354375511</v>
      </c>
      <c r="H23" s="12">
        <f t="shared" si="11"/>
        <v>10075790.983112844</v>
      </c>
      <c r="I23" s="12">
        <f t="shared" si="11"/>
        <v>11680130.612398064</v>
      </c>
      <c r="J23" s="12">
        <f t="shared" si="11"/>
        <v>13540255.884402892</v>
      </c>
      <c r="K23" s="12">
        <f t="shared" si="11"/>
        <v>15696947.62497443</v>
      </c>
      <c r="L23" s="12">
        <f t="shared" si="11"/>
        <v>18197488.493835554</v>
      </c>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row>
    <row r="24" spans="2:59" x14ac:dyDescent="0.35">
      <c r="B24" s="4" t="s">
        <v>5</v>
      </c>
      <c r="C24" s="8">
        <f>C23*(1+$C$3)</f>
        <v>5400000</v>
      </c>
      <c r="D24" s="8">
        <f t="shared" ref="D24:L24" si="12">D23*(1+$C$3)</f>
        <v>6640539.8400000008</v>
      </c>
      <c r="E24" s="8">
        <f t="shared" si="12"/>
        <v>8493883.3934346251</v>
      </c>
      <c r="F24" s="8">
        <f t="shared" si="12"/>
        <v>10049700.602272555</v>
      </c>
      <c r="G24" s="8">
        <f t="shared" si="12"/>
        <v>10049700.602272555</v>
      </c>
      <c r="H24" s="8">
        <f t="shared" si="12"/>
        <v>10881854.261761872</v>
      </c>
      <c r="I24" s="8">
        <f t="shared" si="12"/>
        <v>12614541.06138991</v>
      </c>
      <c r="J24" s="8">
        <f t="shared" si="12"/>
        <v>14623476.355155123</v>
      </c>
      <c r="K24" s="8">
        <f t="shared" si="12"/>
        <v>16952703.434972387</v>
      </c>
      <c r="L24" s="8">
        <f t="shared" si="12"/>
        <v>19653287.573342398</v>
      </c>
    </row>
    <row r="25" spans="2:59" x14ac:dyDescent="0.35">
      <c r="B25" s="4"/>
      <c r="C25" s="8">
        <f t="shared" ref="C25:H25" si="13">C17-C24</f>
        <v>935810</v>
      </c>
      <c r="D25" s="8">
        <f t="shared" si="13"/>
        <v>1530208.7572159991</v>
      </c>
      <c r="E25" s="8">
        <f t="shared" si="13"/>
        <v>1014243.6775036566</v>
      </c>
      <c r="F25" s="8">
        <f t="shared" si="13"/>
        <v>-1498032.6707314979</v>
      </c>
      <c r="G25" s="8">
        <f t="shared" si="13"/>
        <v>32612.976050360128</v>
      </c>
      <c r="H25" s="8">
        <f t="shared" si="13"/>
        <v>997845.43829523958</v>
      </c>
      <c r="I25" s="8">
        <f t="shared" ref="I25:L25" si="14">I17-I24</f>
        <v>1157143.5287662279</v>
      </c>
      <c r="J25" s="8">
        <f t="shared" si="14"/>
        <v>1341839.0872741323</v>
      </c>
      <c r="K25" s="8">
        <f t="shared" si="14"/>
        <v>1555981.3235789575</v>
      </c>
      <c r="L25" s="8">
        <f t="shared" si="14"/>
        <v>1804265.0275299214</v>
      </c>
    </row>
    <row r="26" spans="2:59" x14ac:dyDescent="0.35">
      <c r="B26" s="1" t="s">
        <v>6</v>
      </c>
      <c r="C26" s="9">
        <f>$C$1+MAX(C17-C24,0)*$C$2</f>
        <v>187162</v>
      </c>
      <c r="D26" s="9">
        <f t="shared" ref="D26:L26" si="15">$C$1+MAX(D17-D24,0)*$C$2</f>
        <v>306041.75144319981</v>
      </c>
      <c r="E26" s="9">
        <f t="shared" si="15"/>
        <v>202848.73550073133</v>
      </c>
      <c r="F26" s="9">
        <f t="shared" si="15"/>
        <v>0</v>
      </c>
      <c r="G26" s="9">
        <f t="shared" si="15"/>
        <v>6522.595210072026</v>
      </c>
      <c r="H26" s="9">
        <f t="shared" si="15"/>
        <v>199569.08765904792</v>
      </c>
      <c r="I26" s="9">
        <f t="shared" si="15"/>
        <v>231428.70575324559</v>
      </c>
      <c r="J26" s="9">
        <f t="shared" si="15"/>
        <v>268367.81745482649</v>
      </c>
      <c r="K26" s="9">
        <f t="shared" si="15"/>
        <v>311196.26471579151</v>
      </c>
      <c r="L26" s="9">
        <f t="shared" si="15"/>
        <v>360853.0055059843</v>
      </c>
    </row>
    <row r="27" spans="2:59" x14ac:dyDescent="0.35">
      <c r="B27" s="4" t="s">
        <v>7</v>
      </c>
      <c r="C27" s="8">
        <f>+C17-C26</f>
        <v>6148648</v>
      </c>
      <c r="D27" s="8">
        <f>+D17-D26</f>
        <v>7864706.8457728</v>
      </c>
      <c r="E27" s="8">
        <f t="shared" ref="E27:L27" si="16">+E17-E26</f>
        <v>9305278.3354375511</v>
      </c>
      <c r="F27" s="8">
        <f t="shared" si="16"/>
        <v>8551667.9315410573</v>
      </c>
      <c r="G27" s="8">
        <f t="shared" si="16"/>
        <v>10075790.983112844</v>
      </c>
      <c r="H27" s="8">
        <f t="shared" si="16"/>
        <v>11680130.612398064</v>
      </c>
      <c r="I27" s="8">
        <f t="shared" si="16"/>
        <v>13540255.884402892</v>
      </c>
      <c r="J27" s="8">
        <f t="shared" si="16"/>
        <v>15696947.62497443</v>
      </c>
      <c r="K27" s="8">
        <f t="shared" si="16"/>
        <v>18197488.493835554</v>
      </c>
      <c r="L27" s="8">
        <f t="shared" si="16"/>
        <v>21096699.595366336</v>
      </c>
    </row>
    <row r="28" spans="2:59" s="3" customFormat="1" x14ac:dyDescent="0.35">
      <c r="B28" s="1" t="s">
        <v>32</v>
      </c>
      <c r="C28" s="5">
        <f>+C26/AVERAGE(C17,C11)</f>
        <v>3.3021372094274692E-2</v>
      </c>
      <c r="D28" s="5">
        <f t="shared" ref="D28:L28" si="17">+D26/AVERAGE(D17,D11)</f>
        <v>4.274506252626608E-2</v>
      </c>
      <c r="E28" s="5">
        <f t="shared" si="17"/>
        <v>2.3352406000452162E-2</v>
      </c>
      <c r="F28" s="5">
        <f t="shared" si="17"/>
        <v>0</v>
      </c>
      <c r="G28" s="5">
        <f t="shared" si="17"/>
        <v>7.0007531204420957E-4</v>
      </c>
      <c r="H28" s="5">
        <f t="shared" si="17"/>
        <v>1.8179424048311358E-2</v>
      </c>
      <c r="I28" s="5">
        <f t="shared" si="17"/>
        <v>1.8185634612813053E-2</v>
      </c>
      <c r="J28" s="5">
        <f t="shared" si="17"/>
        <v>1.8190992777745323E-2</v>
      </c>
      <c r="K28" s="5">
        <f t="shared" si="17"/>
        <v>1.8195615343493596E-2</v>
      </c>
      <c r="L28" s="5">
        <f t="shared" si="17"/>
        <v>1.8199603154825203E-2</v>
      </c>
    </row>
    <row r="30" spans="2:59" x14ac:dyDescent="0.35">
      <c r="B30" t="s">
        <v>19</v>
      </c>
    </row>
    <row r="31" spans="2:59" x14ac:dyDescent="0.35">
      <c r="B31" t="s">
        <v>25</v>
      </c>
    </row>
    <row r="33" spans="2:12" ht="14.5" customHeight="1" x14ac:dyDescent="0.35">
      <c r="B33" s="29" t="s">
        <v>33</v>
      </c>
      <c r="C33" s="30"/>
      <c r="D33" s="30"/>
      <c r="E33" s="30"/>
      <c r="F33" s="30"/>
      <c r="G33" s="30"/>
      <c r="H33" s="30"/>
      <c r="I33" s="30"/>
      <c r="J33" s="30"/>
      <c r="K33" s="30"/>
      <c r="L33" s="31"/>
    </row>
    <row r="34" spans="2:12" x14ac:dyDescent="0.35">
      <c r="B34" s="32"/>
      <c r="C34" s="33"/>
      <c r="D34" s="33"/>
      <c r="E34" s="33"/>
      <c r="F34" s="33"/>
      <c r="G34" s="33"/>
      <c r="H34" s="33"/>
      <c r="I34" s="33"/>
      <c r="J34" s="33"/>
      <c r="K34" s="33"/>
      <c r="L34" s="34"/>
    </row>
    <row r="35" spans="2:12" x14ac:dyDescent="0.35">
      <c r="B35" s="32"/>
      <c r="C35" s="33"/>
      <c r="D35" s="33"/>
      <c r="E35" s="33"/>
      <c r="F35" s="33"/>
      <c r="G35" s="33"/>
      <c r="H35" s="33"/>
      <c r="I35" s="33"/>
      <c r="J35" s="33"/>
      <c r="K35" s="33"/>
      <c r="L35" s="34"/>
    </row>
    <row r="36" spans="2:12" x14ac:dyDescent="0.35">
      <c r="B36" s="32"/>
      <c r="C36" s="33"/>
      <c r="D36" s="33"/>
      <c r="E36" s="33"/>
      <c r="F36" s="33"/>
      <c r="G36" s="33"/>
      <c r="H36" s="33"/>
      <c r="I36" s="33"/>
      <c r="J36" s="33"/>
      <c r="K36" s="33"/>
      <c r="L36" s="34"/>
    </row>
    <row r="37" spans="2:12" x14ac:dyDescent="0.35">
      <c r="B37" s="32"/>
      <c r="C37" s="33"/>
      <c r="D37" s="33"/>
      <c r="E37" s="33"/>
      <c r="F37" s="33"/>
      <c r="G37" s="33"/>
      <c r="H37" s="33"/>
      <c r="I37" s="33"/>
      <c r="J37" s="33"/>
      <c r="K37" s="33"/>
      <c r="L37" s="34"/>
    </row>
    <row r="38" spans="2:12" x14ac:dyDescent="0.35">
      <c r="B38" s="32"/>
      <c r="C38" s="33"/>
      <c r="D38" s="33"/>
      <c r="E38" s="33"/>
      <c r="F38" s="33"/>
      <c r="G38" s="33"/>
      <c r="H38" s="33"/>
      <c r="I38" s="33"/>
      <c r="J38" s="33"/>
      <c r="K38" s="33"/>
      <c r="L38" s="34"/>
    </row>
    <row r="39" spans="2:12" x14ac:dyDescent="0.35">
      <c r="B39" s="32"/>
      <c r="C39" s="33"/>
      <c r="D39" s="33"/>
      <c r="E39" s="33"/>
      <c r="F39" s="33"/>
      <c r="G39" s="33"/>
      <c r="H39" s="33"/>
      <c r="I39" s="33"/>
      <c r="J39" s="33"/>
      <c r="K39" s="33"/>
      <c r="L39" s="34"/>
    </row>
    <row r="40" spans="2:12" x14ac:dyDescent="0.35">
      <c r="B40" s="32"/>
      <c r="C40" s="33"/>
      <c r="D40" s="33"/>
      <c r="E40" s="33"/>
      <c r="F40" s="33"/>
      <c r="G40" s="33"/>
      <c r="H40" s="33"/>
      <c r="I40" s="33"/>
      <c r="J40" s="33"/>
      <c r="K40" s="33"/>
      <c r="L40" s="34"/>
    </row>
    <row r="41" spans="2:12" x14ac:dyDescent="0.35">
      <c r="B41" s="32"/>
      <c r="C41" s="33"/>
      <c r="D41" s="33"/>
      <c r="E41" s="33"/>
      <c r="F41" s="33"/>
      <c r="G41" s="33"/>
      <c r="H41" s="33"/>
      <c r="I41" s="33"/>
      <c r="J41" s="33"/>
      <c r="K41" s="33"/>
      <c r="L41" s="34"/>
    </row>
    <row r="42" spans="2:12" x14ac:dyDescent="0.35">
      <c r="B42" s="35"/>
      <c r="C42" s="36"/>
      <c r="D42" s="36"/>
      <c r="E42" s="36"/>
      <c r="F42" s="36"/>
      <c r="G42" s="36"/>
      <c r="H42" s="36"/>
      <c r="I42" s="36"/>
      <c r="J42" s="36"/>
      <c r="K42" s="36"/>
      <c r="L42" s="37"/>
    </row>
  </sheetData>
  <mergeCells count="1">
    <mergeCell ref="B33:L42"/>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99B99-EA7B-4FF5-83C0-04F7B74C886F}">
  <dimension ref="B1:M33"/>
  <sheetViews>
    <sheetView showGridLines="0" topLeftCell="A13" workbookViewId="0">
      <selection activeCell="C10" sqref="C10"/>
    </sheetView>
  </sheetViews>
  <sheetFormatPr defaultRowHeight="14.5" x14ac:dyDescent="0.35"/>
  <cols>
    <col min="2" max="2" width="36.81640625" customWidth="1"/>
    <col min="3" max="3" width="16.36328125" customWidth="1"/>
    <col min="4" max="12" width="10.453125" bestFit="1" customWidth="1"/>
    <col min="13" max="13" width="13.1796875" customWidth="1"/>
  </cols>
  <sheetData>
    <row r="1" spans="2:12" x14ac:dyDescent="0.35">
      <c r="B1" t="s">
        <v>17</v>
      </c>
      <c r="C1" s="7">
        <v>0.01</v>
      </c>
    </row>
    <row r="2" spans="2:12" x14ac:dyDescent="0.35">
      <c r="B2" t="s">
        <v>14</v>
      </c>
      <c r="C2" s="7">
        <v>0.15</v>
      </c>
    </row>
    <row r="3" spans="2:12" x14ac:dyDescent="0.35">
      <c r="B3" t="s">
        <v>15</v>
      </c>
      <c r="C3" s="7">
        <v>0.12</v>
      </c>
    </row>
    <row r="4" spans="2:12" x14ac:dyDescent="0.35">
      <c r="B4" t="s">
        <v>22</v>
      </c>
      <c r="C4" s="10">
        <v>16</v>
      </c>
    </row>
    <row r="5" spans="2:12" x14ac:dyDescent="0.35">
      <c r="B5" t="s">
        <v>21</v>
      </c>
      <c r="C5" s="10">
        <f>6*1.18</f>
        <v>7.08</v>
      </c>
    </row>
    <row r="6" spans="2:12" x14ac:dyDescent="0.35">
      <c r="B6" t="s">
        <v>23</v>
      </c>
      <c r="C6" s="10">
        <v>1000</v>
      </c>
    </row>
    <row r="7" spans="2:12" x14ac:dyDescent="0.35">
      <c r="C7" s="11"/>
    </row>
    <row r="8" spans="2:12" x14ac:dyDescent="0.35">
      <c r="B8" s="3" t="s">
        <v>8</v>
      </c>
    </row>
    <row r="9" spans="2:12" x14ac:dyDescent="0.35">
      <c r="B9" s="1" t="s">
        <v>13</v>
      </c>
      <c r="C9" s="6">
        <f>'Pure Fixed Fees'!C9</f>
        <v>0.27</v>
      </c>
      <c r="D9" s="6">
        <f>'Pure Fixed Fees'!D9</f>
        <v>0.33</v>
      </c>
      <c r="E9" s="6">
        <f>'Pure Fixed Fees'!E9</f>
        <v>0.21</v>
      </c>
      <c r="F9" s="6">
        <f>'Pure Fixed Fees'!F9</f>
        <v>-0.08</v>
      </c>
      <c r="G9" s="6">
        <f>'Pure Fixed Fees'!G9</f>
        <v>0.18</v>
      </c>
      <c r="H9" s="6">
        <f>'Pure Fixed Fees'!H9</f>
        <v>0.18</v>
      </c>
      <c r="I9" s="6">
        <f>'Pure Fixed Fees'!I9</f>
        <v>0.18</v>
      </c>
      <c r="J9" s="6">
        <f>'Pure Fixed Fees'!J9</f>
        <v>0.18</v>
      </c>
      <c r="K9" s="6">
        <f>'Pure Fixed Fees'!K9</f>
        <v>0.18</v>
      </c>
      <c r="L9" s="6">
        <f>'Pure Fixed Fees'!L9</f>
        <v>0.18</v>
      </c>
    </row>
    <row r="10" spans="2:12" x14ac:dyDescent="0.35">
      <c r="B10" s="1" t="s">
        <v>1</v>
      </c>
      <c r="C10" s="1">
        <v>1</v>
      </c>
      <c r="D10" s="1">
        <f>+C10+1</f>
        <v>2</v>
      </c>
      <c r="E10" s="1">
        <f t="shared" ref="E10:L10" si="0">+D10+1</f>
        <v>3</v>
      </c>
      <c r="F10" s="1">
        <f t="shared" si="0"/>
        <v>4</v>
      </c>
      <c r="G10" s="1">
        <f t="shared" si="0"/>
        <v>5</v>
      </c>
      <c r="H10" s="1">
        <f t="shared" si="0"/>
        <v>6</v>
      </c>
      <c r="I10" s="1">
        <f t="shared" si="0"/>
        <v>7</v>
      </c>
      <c r="J10" s="1">
        <f t="shared" si="0"/>
        <v>8</v>
      </c>
      <c r="K10" s="1">
        <f t="shared" si="0"/>
        <v>9</v>
      </c>
      <c r="L10" s="1">
        <f t="shared" si="0"/>
        <v>10</v>
      </c>
    </row>
    <row r="11" spans="2:12" x14ac:dyDescent="0.35">
      <c r="B11" s="4" t="s">
        <v>2</v>
      </c>
      <c r="C11" s="19">
        <v>5000000</v>
      </c>
      <c r="D11" s="8">
        <f>+C29</f>
        <v>6177261.3075000001</v>
      </c>
      <c r="E11" s="8">
        <f t="shared" ref="E11:L11" si="1">+D29</f>
        <v>7954105.6392156528</v>
      </c>
      <c r="F11" s="8">
        <f t="shared" si="1"/>
        <v>9435416.663235385</v>
      </c>
      <c r="G11" s="8">
        <f t="shared" si="1"/>
        <v>8580769.4565869123</v>
      </c>
      <c r="H11" s="8">
        <f t="shared" si="1"/>
        <v>10023145.762844373</v>
      </c>
      <c r="I11" s="8">
        <f t="shared" si="1"/>
        <v>11636038.523323528</v>
      </c>
      <c r="J11" s="8">
        <f t="shared" si="1"/>
        <v>13508826.70874984</v>
      </c>
      <c r="K11" s="8">
        <f t="shared" si="1"/>
        <v>15683388.882635737</v>
      </c>
      <c r="L11" s="8">
        <f t="shared" si="1"/>
        <v>18208351.761456404</v>
      </c>
    </row>
    <row r="12" spans="2:12" x14ac:dyDescent="0.35">
      <c r="B12" s="4" t="s">
        <v>3</v>
      </c>
      <c r="C12" s="8">
        <f>+C11*C9</f>
        <v>1350000</v>
      </c>
      <c r="D12" s="8">
        <f>+D11*D9</f>
        <v>2038496.231475</v>
      </c>
      <c r="E12" s="8">
        <f t="shared" ref="E12:L12" si="2">+E11*E9</f>
        <v>1670362.1842352871</v>
      </c>
      <c r="F12" s="8">
        <f t="shared" si="2"/>
        <v>-754833.33305883082</v>
      </c>
      <c r="G12" s="8">
        <f t="shared" si="2"/>
        <v>1544538.5021856441</v>
      </c>
      <c r="H12" s="8">
        <f t="shared" si="2"/>
        <v>1804166.237311987</v>
      </c>
      <c r="I12" s="8">
        <f t="shared" si="2"/>
        <v>2094486.9341982352</v>
      </c>
      <c r="J12" s="8">
        <f t="shared" si="2"/>
        <v>2431588.8075749711</v>
      </c>
      <c r="K12" s="8">
        <f t="shared" si="2"/>
        <v>2823009.9988744324</v>
      </c>
      <c r="L12" s="8">
        <f t="shared" si="2"/>
        <v>3277503.3170621525</v>
      </c>
    </row>
    <row r="13" spans="2:12" x14ac:dyDescent="0.35">
      <c r="B13" s="4" t="s">
        <v>18</v>
      </c>
      <c r="C13" s="8">
        <v>1650</v>
      </c>
      <c r="D13" s="8">
        <v>0</v>
      </c>
      <c r="E13" s="8">
        <v>0</v>
      </c>
      <c r="F13" s="8">
        <v>0</v>
      </c>
      <c r="G13" s="8">
        <v>0</v>
      </c>
      <c r="H13" s="8">
        <v>0</v>
      </c>
      <c r="I13" s="8">
        <v>0</v>
      </c>
      <c r="J13" s="8">
        <v>0</v>
      </c>
      <c r="K13" s="8">
        <v>0</v>
      </c>
      <c r="L13" s="8">
        <v>0</v>
      </c>
    </row>
    <row r="14" spans="2:12" x14ac:dyDescent="0.35">
      <c r="B14" s="4" t="s">
        <v>20</v>
      </c>
      <c r="C14" s="8">
        <f>C11*C4/10000</f>
        <v>8000</v>
      </c>
      <c r="D14" s="8">
        <f>C14/5</f>
        <v>1600</v>
      </c>
      <c r="E14" s="8">
        <f>D14</f>
        <v>1600</v>
      </c>
      <c r="F14" s="8">
        <f t="shared" ref="F14:L14" si="3">E14</f>
        <v>1600</v>
      </c>
      <c r="G14" s="8">
        <f t="shared" si="3"/>
        <v>1600</v>
      </c>
      <c r="H14" s="8">
        <f t="shared" si="3"/>
        <v>1600</v>
      </c>
      <c r="I14" s="8">
        <f t="shared" si="3"/>
        <v>1600</v>
      </c>
      <c r="J14" s="8">
        <f t="shared" si="3"/>
        <v>1600</v>
      </c>
      <c r="K14" s="8">
        <f t="shared" si="3"/>
        <v>1600</v>
      </c>
      <c r="L14" s="8">
        <f t="shared" si="3"/>
        <v>1600</v>
      </c>
    </row>
    <row r="15" spans="2:12" x14ac:dyDescent="0.35">
      <c r="B15" s="4" t="s">
        <v>24</v>
      </c>
      <c r="C15" s="8">
        <f t="shared" ref="C15:L15" si="4">C11*$C$5/10000</f>
        <v>3540</v>
      </c>
      <c r="D15" s="8">
        <f t="shared" si="4"/>
        <v>4373.5010057099998</v>
      </c>
      <c r="E15" s="8">
        <f t="shared" si="4"/>
        <v>5631.5067925646817</v>
      </c>
      <c r="F15" s="8">
        <f t="shared" si="4"/>
        <v>6680.2749975706529</v>
      </c>
      <c r="G15" s="8">
        <f t="shared" si="4"/>
        <v>6075.184775263534</v>
      </c>
      <c r="H15" s="8">
        <f t="shared" si="4"/>
        <v>7096.3872000938163</v>
      </c>
      <c r="I15" s="8">
        <f t="shared" si="4"/>
        <v>8238.3152745130592</v>
      </c>
      <c r="J15" s="8">
        <f t="shared" si="4"/>
        <v>9564.2493097948864</v>
      </c>
      <c r="K15" s="8">
        <f t="shared" si="4"/>
        <v>11103.839328906102</v>
      </c>
      <c r="L15" s="8">
        <f t="shared" si="4"/>
        <v>12891.513047111133</v>
      </c>
    </row>
    <row r="16" spans="2:12" x14ac:dyDescent="0.35">
      <c r="B16" s="4" t="s">
        <v>26</v>
      </c>
      <c r="C16" s="8">
        <f>C6</f>
        <v>1000</v>
      </c>
      <c r="D16" s="8">
        <f>C16</f>
        <v>1000</v>
      </c>
      <c r="E16" s="8">
        <f t="shared" ref="E16:L16" si="5">D16</f>
        <v>1000</v>
      </c>
      <c r="F16" s="8">
        <f t="shared" si="5"/>
        <v>1000</v>
      </c>
      <c r="G16" s="8">
        <f t="shared" si="5"/>
        <v>1000</v>
      </c>
      <c r="H16" s="8">
        <f t="shared" si="5"/>
        <v>1000</v>
      </c>
      <c r="I16" s="8">
        <f t="shared" si="5"/>
        <v>1000</v>
      </c>
      <c r="J16" s="8">
        <f t="shared" si="5"/>
        <v>1000</v>
      </c>
      <c r="K16" s="8">
        <f t="shared" si="5"/>
        <v>1000</v>
      </c>
      <c r="L16" s="8">
        <f t="shared" si="5"/>
        <v>1000</v>
      </c>
    </row>
    <row r="17" spans="2:13" x14ac:dyDescent="0.35">
      <c r="B17" s="1" t="s">
        <v>30</v>
      </c>
      <c r="C17" s="8">
        <f>$C$1*AVERAGE(C11,SUM(C11:C12)-SUM(C13:C16))</f>
        <v>56679.05</v>
      </c>
      <c r="D17" s="8">
        <f t="shared" ref="D17:L17" si="6">$C$1*AVERAGE(D11,SUM(D11:D12)-SUM(D13:D16))</f>
        <v>71930.226727346453</v>
      </c>
      <c r="E17" s="8">
        <f t="shared" si="6"/>
        <v>87851.709779370154</v>
      </c>
      <c r="F17" s="8">
        <f t="shared" si="6"/>
        <v>90533.598592071838</v>
      </c>
      <c r="G17" s="8">
        <f t="shared" si="6"/>
        <v>93487.011152921026</v>
      </c>
      <c r="H17" s="8">
        <f t="shared" si="6"/>
        <v>109203.8068790032</v>
      </c>
      <c r="I17" s="8">
        <f t="shared" si="6"/>
        <v>126778.6283278539</v>
      </c>
      <c r="J17" s="8">
        <f t="shared" si="6"/>
        <v>147185.3898788243</v>
      </c>
      <c r="K17" s="8">
        <f t="shared" si="6"/>
        <v>170880.41962408499</v>
      </c>
      <c r="L17" s="8">
        <f t="shared" si="6"/>
        <v>198393.57663463923</v>
      </c>
      <c r="M17" s="24"/>
    </row>
    <row r="18" spans="2:13" x14ac:dyDescent="0.35">
      <c r="B18" s="1" t="s">
        <v>4</v>
      </c>
      <c r="C18" s="9">
        <f>SUM(C11:C12)-SUM(C13:C17)</f>
        <v>6279130.9500000002</v>
      </c>
      <c r="D18" s="9">
        <f t="shared" ref="D18:L18" si="7">SUM(D11:D12)-SUM(D13:D17)</f>
        <v>8136853.8112419443</v>
      </c>
      <c r="E18" s="9">
        <f t="shared" si="7"/>
        <v>9528384.6068790052</v>
      </c>
      <c r="F18" s="9">
        <f t="shared" si="7"/>
        <v>8580769.4565869123</v>
      </c>
      <c r="G18" s="9">
        <f t="shared" si="7"/>
        <v>10023145.762844373</v>
      </c>
      <c r="H18" s="9">
        <f t="shared" si="7"/>
        <v>11708411.806077262</v>
      </c>
      <c r="I18" s="9">
        <f t="shared" si="7"/>
        <v>13592908.513919396</v>
      </c>
      <c r="J18" s="9">
        <f t="shared" si="7"/>
        <v>15781065.877136191</v>
      </c>
      <c r="K18" s="9">
        <f t="shared" si="7"/>
        <v>18321814.622557178</v>
      </c>
      <c r="L18" s="9">
        <f t="shared" si="7"/>
        <v>21271969.988836803</v>
      </c>
      <c r="M18" s="23"/>
    </row>
    <row r="19" spans="2:13" x14ac:dyDescent="0.35">
      <c r="B19" s="1"/>
      <c r="C19" s="9"/>
      <c r="D19" s="9"/>
      <c r="E19" s="9"/>
      <c r="F19" s="9"/>
      <c r="G19" s="9"/>
      <c r="H19" s="9"/>
      <c r="I19" s="9"/>
      <c r="J19" s="9"/>
      <c r="K19" s="9"/>
      <c r="L19" s="9"/>
      <c r="M19" s="3"/>
    </row>
    <row r="20" spans="2:13" x14ac:dyDescent="0.35">
      <c r="B20" s="1" t="s">
        <v>16</v>
      </c>
      <c r="C20" s="9">
        <f>C11</f>
        <v>5000000</v>
      </c>
      <c r="D20" s="9">
        <f t="shared" ref="D20:L20" si="8">IF(C27&lt;=0,C20,MAX(C20,C18))</f>
        <v>6279130.9500000002</v>
      </c>
      <c r="E20" s="9">
        <f t="shared" si="8"/>
        <v>8136853.8112419443</v>
      </c>
      <c r="F20" s="9">
        <f t="shared" si="8"/>
        <v>9528384.6068790052</v>
      </c>
      <c r="G20" s="9">
        <f t="shared" si="8"/>
        <v>9528384.6068790052</v>
      </c>
      <c r="H20" s="9">
        <f t="shared" si="8"/>
        <v>9528384.6068790052</v>
      </c>
      <c r="I20" s="9">
        <f t="shared" si="8"/>
        <v>11708411.806077262</v>
      </c>
      <c r="J20" s="9">
        <f t="shared" si="8"/>
        <v>13592908.513919396</v>
      </c>
      <c r="K20" s="9">
        <f t="shared" si="8"/>
        <v>15781065.877136191</v>
      </c>
      <c r="L20" s="9">
        <f t="shared" si="8"/>
        <v>18321814.622557178</v>
      </c>
      <c r="M20" s="3"/>
    </row>
    <row r="21" spans="2:13" x14ac:dyDescent="0.35">
      <c r="B21" s="1"/>
      <c r="C21" s="9"/>
      <c r="D21" s="9"/>
      <c r="E21" s="9"/>
      <c r="F21" s="9"/>
      <c r="G21" s="9"/>
      <c r="H21" s="9"/>
      <c r="I21" s="9"/>
      <c r="J21" s="9"/>
      <c r="K21" s="9"/>
      <c r="L21" s="9"/>
      <c r="M21" s="3"/>
    </row>
    <row r="22" spans="2:13" x14ac:dyDescent="0.35">
      <c r="B22" s="15" t="s">
        <v>29</v>
      </c>
      <c r="C22" s="16">
        <f>C11</f>
        <v>5000000</v>
      </c>
      <c r="D22" s="16">
        <f t="shared" ref="D22:L22" si="9">IF(C27&lt;=0,C22,MAX(C22,C29))</f>
        <v>6177261.3075000001</v>
      </c>
      <c r="E22" s="16">
        <f t="shared" si="9"/>
        <v>7954105.6392156528</v>
      </c>
      <c r="F22" s="16">
        <f t="shared" si="9"/>
        <v>9435416.663235385</v>
      </c>
      <c r="G22" s="16">
        <f t="shared" si="9"/>
        <v>9435416.663235385</v>
      </c>
      <c r="H22" s="16">
        <f t="shared" si="9"/>
        <v>9435416.663235385</v>
      </c>
      <c r="I22" s="16">
        <f t="shared" si="9"/>
        <v>11636038.523323528</v>
      </c>
      <c r="J22" s="16">
        <f t="shared" si="9"/>
        <v>13508826.70874984</v>
      </c>
      <c r="K22" s="16">
        <f t="shared" si="9"/>
        <v>15683388.882635737</v>
      </c>
      <c r="L22" s="16">
        <f t="shared" si="9"/>
        <v>18208351.761456404</v>
      </c>
      <c r="M22" s="26"/>
    </row>
    <row r="23" spans="2:13" x14ac:dyDescent="0.35">
      <c r="B23" s="15" t="s">
        <v>28</v>
      </c>
      <c r="C23" s="16">
        <f>C11</f>
        <v>5000000</v>
      </c>
      <c r="D23" s="16">
        <f t="shared" ref="D23:L23" si="10">D11</f>
        <v>6177261.3075000001</v>
      </c>
      <c r="E23" s="16">
        <f t="shared" si="10"/>
        <v>7954105.6392156528</v>
      </c>
      <c r="F23" s="16">
        <f t="shared" si="10"/>
        <v>9435416.663235385</v>
      </c>
      <c r="G23" s="16">
        <f t="shared" si="10"/>
        <v>8580769.4565869123</v>
      </c>
      <c r="H23" s="16">
        <f t="shared" si="10"/>
        <v>10023145.762844373</v>
      </c>
      <c r="I23" s="16">
        <f t="shared" si="10"/>
        <v>11636038.523323528</v>
      </c>
      <c r="J23" s="16">
        <f t="shared" si="10"/>
        <v>13508826.70874984</v>
      </c>
      <c r="K23" s="16">
        <f t="shared" si="10"/>
        <v>15683388.882635737</v>
      </c>
      <c r="L23" s="16">
        <f t="shared" si="10"/>
        <v>18208351.761456404</v>
      </c>
      <c r="M23" s="26"/>
    </row>
    <row r="24" spans="2:13" ht="29" x14ac:dyDescent="0.35">
      <c r="B24" s="14" t="s">
        <v>27</v>
      </c>
      <c r="C24" s="12">
        <f>MAX(C22,C23)</f>
        <v>5000000</v>
      </c>
      <c r="D24" s="12">
        <f t="shared" ref="D24:L24" si="11">MAX(D22,D23)</f>
        <v>6177261.3075000001</v>
      </c>
      <c r="E24" s="12">
        <f t="shared" si="11"/>
        <v>7954105.6392156528</v>
      </c>
      <c r="F24" s="12">
        <f t="shared" si="11"/>
        <v>9435416.663235385</v>
      </c>
      <c r="G24" s="12">
        <f t="shared" si="11"/>
        <v>9435416.663235385</v>
      </c>
      <c r="H24" s="12">
        <f t="shared" si="11"/>
        <v>10023145.762844373</v>
      </c>
      <c r="I24" s="12">
        <f t="shared" si="11"/>
        <v>11636038.523323528</v>
      </c>
      <c r="J24" s="12">
        <f t="shared" si="11"/>
        <v>13508826.70874984</v>
      </c>
      <c r="K24" s="12">
        <f t="shared" si="11"/>
        <v>15683388.882635737</v>
      </c>
      <c r="L24" s="12">
        <f t="shared" si="11"/>
        <v>18208351.761456404</v>
      </c>
      <c r="M24" s="26"/>
    </row>
    <row r="25" spans="2:13" x14ac:dyDescent="0.35">
      <c r="B25" s="4" t="s">
        <v>5</v>
      </c>
      <c r="C25" s="8">
        <f>C24*(1+$C$3)</f>
        <v>5600000.0000000009</v>
      </c>
      <c r="D25" s="8">
        <f t="shared" ref="D25:L25" si="12">D24*(1+$C$3)</f>
        <v>6918532.6644000011</v>
      </c>
      <c r="E25" s="8">
        <f t="shared" si="12"/>
        <v>8908598.315921532</v>
      </c>
      <c r="F25" s="8">
        <f t="shared" si="12"/>
        <v>10567666.662823632</v>
      </c>
      <c r="G25" s="8">
        <f t="shared" si="12"/>
        <v>10567666.662823632</v>
      </c>
      <c r="H25" s="8">
        <f t="shared" si="12"/>
        <v>11225923.254385699</v>
      </c>
      <c r="I25" s="8">
        <f t="shared" si="12"/>
        <v>13032363.146122353</v>
      </c>
      <c r="J25" s="8">
        <f t="shared" si="12"/>
        <v>15129885.913799822</v>
      </c>
      <c r="K25" s="8">
        <f t="shared" si="12"/>
        <v>17565395.548552025</v>
      </c>
      <c r="L25" s="8">
        <f t="shared" si="12"/>
        <v>20393353.972831175</v>
      </c>
      <c r="M25" s="27"/>
    </row>
    <row r="26" spans="2:13" x14ac:dyDescent="0.35">
      <c r="B26" s="4"/>
      <c r="C26" s="8"/>
      <c r="D26" s="8"/>
      <c r="E26" s="8"/>
      <c r="F26" s="8"/>
      <c r="G26" s="8"/>
      <c r="H26" s="8"/>
      <c r="I26" s="8"/>
      <c r="J26" s="8"/>
      <c r="K26" s="8"/>
      <c r="L26" s="8"/>
      <c r="M26" s="27"/>
    </row>
    <row r="27" spans="2:13" x14ac:dyDescent="0.35">
      <c r="B27" s="1" t="s">
        <v>38</v>
      </c>
      <c r="C27" s="9">
        <f t="shared" ref="C27:L27" si="13">MAX(C18-C25,0)*$C$2</f>
        <v>101869.64249999989</v>
      </c>
      <c r="D27" s="9">
        <f t="shared" si="13"/>
        <v>182748.17202629149</v>
      </c>
      <c r="E27" s="9">
        <f t="shared" si="13"/>
        <v>92967.94364362098</v>
      </c>
      <c r="F27" s="9">
        <f t="shared" si="13"/>
        <v>0</v>
      </c>
      <c r="G27" s="9">
        <f t="shared" si="13"/>
        <v>0</v>
      </c>
      <c r="H27" s="9">
        <f t="shared" si="13"/>
        <v>72373.282753734573</v>
      </c>
      <c r="I27" s="9">
        <f t="shared" si="13"/>
        <v>84081.805169556479</v>
      </c>
      <c r="J27" s="9">
        <f t="shared" si="13"/>
        <v>97676.994500455345</v>
      </c>
      <c r="K27" s="9">
        <f t="shared" si="13"/>
        <v>113462.86110077295</v>
      </c>
      <c r="L27" s="9">
        <f t="shared" si="13"/>
        <v>131792.40240084418</v>
      </c>
      <c r="M27" s="28"/>
    </row>
    <row r="28" spans="2:13" x14ac:dyDescent="0.35">
      <c r="B28" s="1" t="s">
        <v>37</v>
      </c>
      <c r="C28" s="9">
        <f>C27+C17</f>
        <v>158548.69249999989</v>
      </c>
      <c r="D28" s="9">
        <f t="shared" ref="D28:L28" si="14">D27+D17</f>
        <v>254678.39875363794</v>
      </c>
      <c r="E28" s="9">
        <f t="shared" si="14"/>
        <v>180819.65342299113</v>
      </c>
      <c r="F28" s="9">
        <f t="shared" si="14"/>
        <v>90533.598592071838</v>
      </c>
      <c r="G28" s="9">
        <f t="shared" si="14"/>
        <v>93487.011152921026</v>
      </c>
      <c r="H28" s="9">
        <f t="shared" si="14"/>
        <v>181577.08963273777</v>
      </c>
      <c r="I28" s="9">
        <f t="shared" si="14"/>
        <v>210860.43349741038</v>
      </c>
      <c r="J28" s="9">
        <f t="shared" si="14"/>
        <v>244862.38437927963</v>
      </c>
      <c r="K28" s="9">
        <f t="shared" si="14"/>
        <v>284343.28072485793</v>
      </c>
      <c r="L28" s="9">
        <f t="shared" si="14"/>
        <v>330185.97903548344</v>
      </c>
      <c r="M28" s="28"/>
    </row>
    <row r="29" spans="2:13" x14ac:dyDescent="0.35">
      <c r="B29" s="4" t="s">
        <v>7</v>
      </c>
      <c r="C29" s="8">
        <f t="shared" ref="C29:L29" si="15">+C18-C27</f>
        <v>6177261.3075000001</v>
      </c>
      <c r="D29" s="8">
        <f t="shared" si="15"/>
        <v>7954105.6392156528</v>
      </c>
      <c r="E29" s="8">
        <f t="shared" si="15"/>
        <v>9435416.663235385</v>
      </c>
      <c r="F29" s="8">
        <f t="shared" si="15"/>
        <v>8580769.4565869123</v>
      </c>
      <c r="G29" s="8">
        <f t="shared" si="15"/>
        <v>10023145.762844373</v>
      </c>
      <c r="H29" s="8">
        <f t="shared" si="15"/>
        <v>11636038.523323528</v>
      </c>
      <c r="I29" s="8">
        <f t="shared" si="15"/>
        <v>13508826.70874984</v>
      </c>
      <c r="J29" s="8">
        <f t="shared" si="15"/>
        <v>15683388.882635737</v>
      </c>
      <c r="K29" s="8">
        <f t="shared" si="15"/>
        <v>18208351.761456404</v>
      </c>
      <c r="L29" s="8">
        <f t="shared" si="15"/>
        <v>21140177.586435959</v>
      </c>
    </row>
    <row r="30" spans="2:13" x14ac:dyDescent="0.35">
      <c r="B30" s="1" t="s">
        <v>32</v>
      </c>
      <c r="C30" s="5">
        <f>+C28/AVERAGE(C18,C11)</f>
        <v>2.8113636272659802E-2</v>
      </c>
      <c r="D30" s="5">
        <f t="shared" ref="D30:L30" si="16">+D28/AVERAGE(D18,D11)</f>
        <v>3.5584232296717956E-2</v>
      </c>
      <c r="E30" s="5">
        <f t="shared" si="16"/>
        <v>2.0685800578482655E-2</v>
      </c>
      <c r="F30" s="5">
        <f t="shared" si="16"/>
        <v>1.0050251256281405E-2</v>
      </c>
      <c r="G30" s="5">
        <f t="shared" si="16"/>
        <v>1.0050251256281407E-2</v>
      </c>
      <c r="H30" s="5">
        <f t="shared" si="16"/>
        <v>1.6710913523512158E-2</v>
      </c>
      <c r="I30" s="5">
        <f t="shared" si="16"/>
        <v>1.671575378759475E-2</v>
      </c>
      <c r="J30" s="5">
        <f t="shared" si="16"/>
        <v>1.6719923684340984E-2</v>
      </c>
      <c r="K30" s="5">
        <f t="shared" si="16"/>
        <v>1.6723515898467482E-2</v>
      </c>
      <c r="L30" s="5">
        <f t="shared" si="16"/>
        <v>1.6726610341418063E-2</v>
      </c>
      <c r="M30" s="3"/>
    </row>
    <row r="32" spans="2:13" x14ac:dyDescent="0.35">
      <c r="B32" t="s">
        <v>19</v>
      </c>
    </row>
    <row r="33" spans="2:2" x14ac:dyDescent="0.35">
      <c r="B33" t="s">
        <v>25</v>
      </c>
    </row>
  </sheetData>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Coffee Can fees</vt:lpstr>
      <vt:lpstr>Pure Fixed Fees</vt:lpstr>
      <vt:lpstr>Pure variable Fee</vt:lpstr>
      <vt:lpstr>Hybrid Fee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sumitb</dc:creator>
  <cp:lastModifiedBy>Pooja Verma</cp:lastModifiedBy>
  <dcterms:created xsi:type="dcterms:W3CDTF">2018-04-13T09:28:43Z</dcterms:created>
  <dcterms:modified xsi:type="dcterms:W3CDTF">2023-08-17T05:07:52Z</dcterms:modified>
</cp:coreProperties>
</file>